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0280" windowHeight="7830"/>
  </bookViews>
  <sheets>
    <sheet name="9 健康寿命算定結果-宮崎県" sheetId="1" r:id="rId1"/>
  </sheets>
  <definedNames>
    <definedName name="_xlnm.Print_Area" localSheetId="0">'9 健康寿命算定結果-宮崎県'!$A$1:$N$82</definedName>
  </definedNames>
  <calcPr calcId="145621"/>
</workbook>
</file>

<file path=xl/calcChain.xml><?xml version="1.0" encoding="utf-8"?>
<calcChain xmlns="http://schemas.openxmlformats.org/spreadsheetml/2006/main">
  <c r="AH42" i="1" l="1"/>
  <c r="Q42" i="1"/>
  <c r="P41" i="1"/>
  <c r="Q41" i="1"/>
  <c r="P40" i="1"/>
  <c r="S40" i="1"/>
  <c r="AI40" i="1" s="1"/>
  <c r="Q40" i="1"/>
  <c r="S32" i="1"/>
  <c r="AI32" i="1" s="1"/>
  <c r="O31" i="1"/>
  <c r="S31" i="1"/>
  <c r="AI31" i="1" s="1"/>
  <c r="O30" i="1"/>
  <c r="S30" i="1"/>
  <c r="AI30" i="1" s="1"/>
  <c r="AH30" i="1"/>
  <c r="O29" i="1"/>
  <c r="S29" i="1"/>
  <c r="AI29" i="1" s="1"/>
  <c r="O28" i="1"/>
  <c r="S28" i="1"/>
  <c r="AI28" i="1" s="1"/>
  <c r="O27" i="1"/>
  <c r="S27" i="1"/>
  <c r="AI27" i="1" s="1"/>
  <c r="O26" i="1"/>
  <c r="S26" i="1"/>
  <c r="AI26" i="1" s="1"/>
  <c r="S25" i="1"/>
  <c r="Q25" i="1"/>
  <c r="AH24" i="1"/>
  <c r="P24" i="1"/>
  <c r="S24" i="1"/>
  <c r="Q24" i="1"/>
  <c r="O23" i="1"/>
  <c r="Q23" i="1"/>
  <c r="O22" i="1"/>
  <c r="P22" i="1"/>
  <c r="Q22" i="1"/>
  <c r="O21" i="1"/>
  <c r="Q21" i="1"/>
  <c r="O20" i="1"/>
  <c r="P20" i="1"/>
  <c r="Q20" i="1"/>
  <c r="O19" i="1"/>
  <c r="Q19" i="1"/>
  <c r="O18" i="1"/>
  <c r="P18" i="1"/>
  <c r="Q18" i="1"/>
  <c r="O17" i="1"/>
  <c r="Q17" i="1"/>
  <c r="O16" i="1"/>
  <c r="P16" i="1"/>
  <c r="Q16" i="1"/>
  <c r="O15" i="1"/>
  <c r="Q15" i="1"/>
  <c r="Q14" i="1"/>
  <c r="P13" i="1"/>
  <c r="Q13" i="1"/>
  <c r="O12" i="1"/>
  <c r="Q12" i="1"/>
  <c r="O11" i="1"/>
  <c r="Q11" i="1"/>
  <c r="Q10" i="1"/>
  <c r="P9" i="1"/>
  <c r="Q9" i="1"/>
  <c r="O8" i="1"/>
  <c r="Q8" i="1"/>
  <c r="O7" i="1"/>
  <c r="P7" i="1"/>
  <c r="Q7" i="1"/>
  <c r="R9" i="1" l="1"/>
  <c r="R24" i="1"/>
  <c r="AK24" i="1" s="1"/>
  <c r="O9" i="1"/>
  <c r="T9" i="1" s="1"/>
  <c r="AH9" i="1" s="1"/>
  <c r="P11" i="1"/>
  <c r="R11" i="1" s="1"/>
  <c r="T11" i="1" s="1"/>
  <c r="AH11" i="1" s="1"/>
  <c r="O13" i="1"/>
  <c r="P15" i="1"/>
  <c r="R15" i="1" s="1"/>
  <c r="T15" i="1" s="1"/>
  <c r="AH15" i="1" s="1"/>
  <c r="P17" i="1"/>
  <c r="P19" i="1"/>
  <c r="R19" i="1" s="1"/>
  <c r="T19" i="1" s="1"/>
  <c r="AH19" i="1" s="1"/>
  <c r="P21" i="1"/>
  <c r="P23" i="1"/>
  <c r="R23" i="1" s="1"/>
  <c r="T23" i="1" s="1"/>
  <c r="AH23" i="1" s="1"/>
  <c r="O40" i="1"/>
  <c r="P42" i="1"/>
  <c r="R42" i="1" s="1"/>
  <c r="AK42" i="1" s="1"/>
  <c r="R13" i="1"/>
  <c r="P10" i="1"/>
  <c r="R10" i="1" s="1"/>
  <c r="P14" i="1"/>
  <c r="R14" i="1" s="1"/>
  <c r="S42" i="1"/>
  <c r="P8" i="1"/>
  <c r="R8" i="1" s="1"/>
  <c r="O10" i="1"/>
  <c r="P12" i="1"/>
  <c r="R12" i="1" s="1"/>
  <c r="T12" i="1" s="1"/>
  <c r="AH12" i="1" s="1"/>
  <c r="O14" i="1"/>
  <c r="AI25" i="1"/>
  <c r="O32" i="1"/>
  <c r="O33" i="1"/>
  <c r="O39" i="1"/>
  <c r="S41" i="1"/>
  <c r="AI41" i="1" s="1"/>
  <c r="O41" i="1"/>
  <c r="T8" i="1"/>
  <c r="AH8" i="1" s="1"/>
  <c r="R7" i="1"/>
  <c r="T7" i="1" s="1"/>
  <c r="AH7" i="1" s="1"/>
  <c r="T13" i="1"/>
  <c r="AH13" i="1" s="1"/>
  <c r="S8" i="1"/>
  <c r="AI8" i="1" s="1"/>
  <c r="S9" i="1"/>
  <c r="AI9" i="1" s="1"/>
  <c r="S10" i="1"/>
  <c r="AI10" i="1" s="1"/>
  <c r="S11" i="1"/>
  <c r="AI11" i="1" s="1"/>
  <c r="S12" i="1"/>
  <c r="AI12" i="1" s="1"/>
  <c r="S13" i="1"/>
  <c r="AI13" i="1" s="1"/>
  <c r="S14" i="1"/>
  <c r="AI14" i="1" s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R40" i="1"/>
  <c r="T40" i="1" s="1"/>
  <c r="R41" i="1"/>
  <c r="S7" i="1"/>
  <c r="AI7" i="1" s="1"/>
  <c r="S15" i="1"/>
  <c r="AI15" i="1" s="1"/>
  <c r="S16" i="1"/>
  <c r="AI16" i="1" s="1"/>
  <c r="S17" i="1"/>
  <c r="AI17" i="1" s="1"/>
  <c r="S18" i="1"/>
  <c r="AI18" i="1" s="1"/>
  <c r="S19" i="1"/>
  <c r="AI19" i="1" s="1"/>
  <c r="S20" i="1"/>
  <c r="AI20" i="1" s="1"/>
  <c r="S21" i="1"/>
  <c r="AI21" i="1" s="1"/>
  <c r="S22" i="1"/>
  <c r="AI22" i="1" s="1"/>
  <c r="S23" i="1"/>
  <c r="AI23" i="1" s="1"/>
  <c r="O25" i="1"/>
  <c r="AI24" i="1"/>
  <c r="AM24" i="1" s="1"/>
  <c r="R16" i="1"/>
  <c r="T16" i="1" s="1"/>
  <c r="AH16" i="1" s="1"/>
  <c r="R17" i="1"/>
  <c r="T17" i="1" s="1"/>
  <c r="AH17" i="1" s="1"/>
  <c r="R18" i="1"/>
  <c r="T18" i="1" s="1"/>
  <c r="AH18" i="1" s="1"/>
  <c r="R20" i="1"/>
  <c r="T20" i="1" s="1"/>
  <c r="AH20" i="1" s="1"/>
  <c r="R21" i="1"/>
  <c r="T21" i="1" s="1"/>
  <c r="AH21" i="1" s="1"/>
  <c r="R22" i="1"/>
  <c r="T22" i="1" s="1"/>
  <c r="AH22" i="1" s="1"/>
  <c r="P25" i="1"/>
  <c r="R25" i="1" s="1"/>
  <c r="T25" i="1" s="1"/>
  <c r="AH25" i="1" s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S33" i="1"/>
  <c r="AI33" i="1" s="1"/>
  <c r="S34" i="1"/>
  <c r="AI34" i="1" s="1"/>
  <c r="O34" i="1"/>
  <c r="S35" i="1"/>
  <c r="AI35" i="1" s="1"/>
  <c r="O35" i="1"/>
  <c r="S36" i="1"/>
  <c r="AI36" i="1" s="1"/>
  <c r="O36" i="1"/>
  <c r="S37" i="1"/>
  <c r="AI37" i="1" s="1"/>
  <c r="O37" i="1"/>
  <c r="S38" i="1"/>
  <c r="AI38" i="1" s="1"/>
  <c r="O38" i="1"/>
  <c r="S39" i="1"/>
  <c r="AI39" i="1" s="1"/>
  <c r="AH40" i="1"/>
  <c r="AO24" i="1" l="1"/>
  <c r="R39" i="1"/>
  <c r="T39" i="1" s="1"/>
  <c r="AH39" i="1" s="1"/>
  <c r="R35" i="1"/>
  <c r="R31" i="1"/>
  <c r="T31" i="1" s="1"/>
  <c r="AH31" i="1" s="1"/>
  <c r="T14" i="1"/>
  <c r="AH14" i="1" s="1"/>
  <c r="AI42" i="1"/>
  <c r="AM42" i="1" s="1"/>
  <c r="R38" i="1"/>
  <c r="T38" i="1" s="1"/>
  <c r="AH38" i="1" s="1"/>
  <c r="R34" i="1"/>
  <c r="R30" i="1"/>
  <c r="T30" i="1" s="1"/>
  <c r="R26" i="1"/>
  <c r="T26" i="1" s="1"/>
  <c r="AH26" i="1" s="1"/>
  <c r="T10" i="1"/>
  <c r="AH10" i="1" s="1"/>
  <c r="T41" i="1"/>
  <c r="AH41" i="1" s="1"/>
  <c r="R37" i="1"/>
  <c r="T37" i="1" s="1"/>
  <c r="AH37" i="1" s="1"/>
  <c r="R28" i="1"/>
  <c r="T28" i="1" s="1"/>
  <c r="AH28" i="1" s="1"/>
  <c r="R29" i="1"/>
  <c r="T29" i="1" s="1"/>
  <c r="AH29" i="1" s="1"/>
  <c r="R27" i="1"/>
  <c r="T27" i="1" s="1"/>
  <c r="AH27" i="1" s="1"/>
  <c r="U26" i="1"/>
  <c r="V25" i="1"/>
  <c r="T35" i="1"/>
  <c r="AH35" i="1" s="1"/>
  <c r="R33" i="1"/>
  <c r="T33" i="1" s="1"/>
  <c r="AH33" i="1" s="1"/>
  <c r="R36" i="1"/>
  <c r="T36" i="1" s="1"/>
  <c r="AH36" i="1" s="1"/>
  <c r="T34" i="1"/>
  <c r="AH34" i="1" s="1"/>
  <c r="R32" i="1"/>
  <c r="T32" i="1" s="1"/>
  <c r="AH32" i="1" s="1"/>
  <c r="V7" i="1"/>
  <c r="U8" i="1"/>
  <c r="AO42" i="1" l="1"/>
  <c r="V8" i="1"/>
  <c r="U9" i="1"/>
  <c r="Z7" i="1"/>
  <c r="X7" i="1"/>
  <c r="X25" i="1"/>
  <c r="Z25" i="1"/>
  <c r="U27" i="1"/>
  <c r="V26" i="1"/>
  <c r="V9" i="1" l="1"/>
  <c r="U10" i="1"/>
  <c r="X26" i="1"/>
  <c r="Z26" i="1"/>
  <c r="Z8" i="1"/>
  <c r="X8" i="1"/>
  <c r="U28" i="1"/>
  <c r="V27" i="1"/>
  <c r="V10" i="1" l="1"/>
  <c r="U11" i="1"/>
  <c r="Z9" i="1"/>
  <c r="X9" i="1"/>
  <c r="U29" i="1"/>
  <c r="V28" i="1"/>
  <c r="X27" i="1"/>
  <c r="Z27" i="1"/>
  <c r="Z10" i="1" l="1"/>
  <c r="X10" i="1"/>
  <c r="U30" i="1"/>
  <c r="V29" i="1"/>
  <c r="X28" i="1"/>
  <c r="Z28" i="1"/>
  <c r="V11" i="1"/>
  <c r="U12" i="1"/>
  <c r="U31" i="1" l="1"/>
  <c r="V30" i="1"/>
  <c r="X29" i="1"/>
  <c r="Z29" i="1"/>
  <c r="Z11" i="1"/>
  <c r="X11" i="1"/>
  <c r="V12" i="1"/>
  <c r="U13" i="1"/>
  <c r="V13" i="1" l="1"/>
  <c r="U14" i="1"/>
  <c r="Z12" i="1"/>
  <c r="X12" i="1"/>
  <c r="U32" i="1"/>
  <c r="V31" i="1"/>
  <c r="X30" i="1"/>
  <c r="Z30" i="1"/>
  <c r="X31" i="1" l="1"/>
  <c r="Z31" i="1"/>
  <c r="V14" i="1"/>
  <c r="U15" i="1"/>
  <c r="Z13" i="1"/>
  <c r="X13" i="1"/>
  <c r="U33" i="1"/>
  <c r="V32" i="1"/>
  <c r="Z14" i="1" l="1"/>
  <c r="X14" i="1"/>
  <c r="X32" i="1"/>
  <c r="Z32" i="1"/>
  <c r="V15" i="1"/>
  <c r="U16" i="1"/>
  <c r="U34" i="1"/>
  <c r="V33" i="1"/>
  <c r="V16" i="1" l="1"/>
  <c r="U17" i="1"/>
  <c r="X33" i="1"/>
  <c r="Z33" i="1"/>
  <c r="X15" i="1"/>
  <c r="Z15" i="1"/>
  <c r="U35" i="1"/>
  <c r="V34" i="1"/>
  <c r="X34" i="1" l="1"/>
  <c r="Z34" i="1"/>
  <c r="X16" i="1"/>
  <c r="Z16" i="1"/>
  <c r="V17" i="1"/>
  <c r="U18" i="1"/>
  <c r="U36" i="1"/>
  <c r="V35" i="1"/>
  <c r="V18" i="1" l="1"/>
  <c r="U19" i="1"/>
  <c r="U37" i="1"/>
  <c r="V36" i="1"/>
  <c r="X35" i="1"/>
  <c r="Z35" i="1"/>
  <c r="X17" i="1"/>
  <c r="Z17" i="1"/>
  <c r="X36" i="1" l="1"/>
  <c r="Z36" i="1"/>
  <c r="V19" i="1"/>
  <c r="U20" i="1"/>
  <c r="U38" i="1"/>
  <c r="V37" i="1"/>
  <c r="X18" i="1"/>
  <c r="Z18" i="1"/>
  <c r="U39" i="1" l="1"/>
  <c r="V38" i="1"/>
  <c r="V20" i="1"/>
  <c r="U21" i="1"/>
  <c r="X19" i="1"/>
  <c r="Z19" i="1"/>
  <c r="X37" i="1"/>
  <c r="Z37" i="1"/>
  <c r="V21" i="1" l="1"/>
  <c r="U22" i="1"/>
  <c r="U40" i="1"/>
  <c r="V39" i="1"/>
  <c r="X20" i="1"/>
  <c r="Z20" i="1"/>
  <c r="X38" i="1"/>
  <c r="Z38" i="1"/>
  <c r="X39" i="1" l="1"/>
  <c r="Z39" i="1"/>
  <c r="X21" i="1"/>
  <c r="Z21" i="1"/>
  <c r="V22" i="1"/>
  <c r="U23" i="1"/>
  <c r="U41" i="1"/>
  <c r="V40" i="1"/>
  <c r="X22" i="1" l="1"/>
  <c r="Z22" i="1"/>
  <c r="W18" i="1"/>
  <c r="AB18" i="1" s="1"/>
  <c r="U42" i="1"/>
  <c r="V42" i="1" s="1"/>
  <c r="V41" i="1"/>
  <c r="Z40" i="1"/>
  <c r="X40" i="1"/>
  <c r="U24" i="1"/>
  <c r="V24" i="1" s="1"/>
  <c r="V23" i="1"/>
  <c r="W17" i="1" s="1"/>
  <c r="AB17" i="1" s="1"/>
  <c r="W19" i="1"/>
  <c r="AB19" i="1" s="1"/>
  <c r="W20" i="1" l="1"/>
  <c r="AB20" i="1" s="1"/>
  <c r="W37" i="1"/>
  <c r="AB37" i="1" s="1"/>
  <c r="W22" i="1"/>
  <c r="AB22" i="1" s="1"/>
  <c r="C62" i="1" s="1"/>
  <c r="W40" i="1"/>
  <c r="AB40" i="1" s="1"/>
  <c r="C80" i="1" s="1"/>
  <c r="W36" i="1"/>
  <c r="AB36" i="1" s="1"/>
  <c r="C76" i="1" s="1"/>
  <c r="W21" i="1"/>
  <c r="AB21" i="1" s="1"/>
  <c r="C61" i="1" s="1"/>
  <c r="C77" i="1"/>
  <c r="AJ36" i="1"/>
  <c r="C60" i="1"/>
  <c r="AJ19" i="1"/>
  <c r="W42" i="1"/>
  <c r="AB42" i="1" s="1"/>
  <c r="AN42" i="1"/>
  <c r="X42" i="1"/>
  <c r="AL42" i="1"/>
  <c r="Z42" i="1"/>
  <c r="W25" i="1"/>
  <c r="AB25" i="1" s="1"/>
  <c r="W26" i="1"/>
  <c r="AB26" i="1" s="1"/>
  <c r="W27" i="1"/>
  <c r="AB27" i="1" s="1"/>
  <c r="W29" i="1"/>
  <c r="AB29" i="1" s="1"/>
  <c r="W28" i="1"/>
  <c r="AB28" i="1" s="1"/>
  <c r="W30" i="1"/>
  <c r="AB30" i="1" s="1"/>
  <c r="W31" i="1"/>
  <c r="AB31" i="1" s="1"/>
  <c r="W32" i="1"/>
  <c r="AB32" i="1" s="1"/>
  <c r="W34" i="1"/>
  <c r="AB34" i="1" s="1"/>
  <c r="W33" i="1"/>
  <c r="AB33" i="1" s="1"/>
  <c r="W39" i="1"/>
  <c r="AB39" i="1" s="1"/>
  <c r="C57" i="1"/>
  <c r="AJ16" i="1"/>
  <c r="C59" i="1"/>
  <c r="AJ18" i="1"/>
  <c r="X23" i="1"/>
  <c r="Y19" i="1" s="1"/>
  <c r="AC19" i="1" s="1"/>
  <c r="Z23" i="1"/>
  <c r="W23" i="1"/>
  <c r="AB23" i="1" s="1"/>
  <c r="W24" i="1"/>
  <c r="AB24" i="1" s="1"/>
  <c r="AN24" i="1"/>
  <c r="X24" i="1"/>
  <c r="Z24" i="1"/>
  <c r="AL24" i="1"/>
  <c r="W8" i="1"/>
  <c r="AB8" i="1" s="1"/>
  <c r="W7" i="1"/>
  <c r="AB7" i="1" s="1"/>
  <c r="W9" i="1"/>
  <c r="AB9" i="1" s="1"/>
  <c r="W10" i="1"/>
  <c r="AB10" i="1" s="1"/>
  <c r="W12" i="1"/>
  <c r="AB12" i="1" s="1"/>
  <c r="W15" i="1"/>
  <c r="AB15" i="1" s="1"/>
  <c r="W13" i="1"/>
  <c r="AB13" i="1" s="1"/>
  <c r="W11" i="1"/>
  <c r="AB11" i="1" s="1"/>
  <c r="W14" i="1"/>
  <c r="AB14" i="1" s="1"/>
  <c r="W16" i="1"/>
  <c r="AB16" i="1" s="1"/>
  <c r="AJ39" i="1"/>
  <c r="W41" i="1"/>
  <c r="AB41" i="1" s="1"/>
  <c r="Z41" i="1"/>
  <c r="AA33" i="1" s="1"/>
  <c r="AE33" i="1" s="1"/>
  <c r="X41" i="1"/>
  <c r="Y38" i="1" s="1"/>
  <c r="AC38" i="1" s="1"/>
  <c r="W35" i="1"/>
  <c r="AB35" i="1" s="1"/>
  <c r="W38" i="1"/>
  <c r="AB38" i="1" s="1"/>
  <c r="C58" i="1"/>
  <c r="AJ17" i="1"/>
  <c r="AJ21" i="1" l="1"/>
  <c r="AA22" i="1"/>
  <c r="AE22" i="1" s="1"/>
  <c r="Y20" i="1"/>
  <c r="AC20" i="1" s="1"/>
  <c r="F60" i="1" s="1"/>
  <c r="AA40" i="1"/>
  <c r="AE40" i="1" s="1"/>
  <c r="J80" i="1" s="1"/>
  <c r="Y18" i="1"/>
  <c r="AC18" i="1" s="1"/>
  <c r="AJ20" i="1"/>
  <c r="AA20" i="1"/>
  <c r="AE20" i="1" s="1"/>
  <c r="AN19" i="1" s="1"/>
  <c r="AA18" i="1"/>
  <c r="AE18" i="1" s="1"/>
  <c r="J58" i="1" s="1"/>
  <c r="AJ35" i="1"/>
  <c r="F58" i="1"/>
  <c r="AD18" i="1"/>
  <c r="I58" i="1" s="1"/>
  <c r="AL17" i="1"/>
  <c r="F78" i="1"/>
  <c r="AD38" i="1"/>
  <c r="I78" i="1" s="1"/>
  <c r="AL37" i="1"/>
  <c r="C78" i="1"/>
  <c r="AJ37" i="1"/>
  <c r="C81" i="1"/>
  <c r="AJ40" i="1"/>
  <c r="J60" i="1"/>
  <c r="C50" i="1"/>
  <c r="AJ9" i="1"/>
  <c r="Y34" i="1"/>
  <c r="AC34" i="1" s="1"/>
  <c r="C79" i="1"/>
  <c r="AJ38" i="1"/>
  <c r="C71" i="1"/>
  <c r="AJ30" i="1"/>
  <c r="C67" i="1"/>
  <c r="AJ26" i="1"/>
  <c r="C75" i="1"/>
  <c r="AJ34" i="1"/>
  <c r="C53" i="1"/>
  <c r="AJ12" i="1"/>
  <c r="C49" i="1"/>
  <c r="AJ8" i="1"/>
  <c r="AA24" i="1"/>
  <c r="AE24" i="1" s="1"/>
  <c r="AA7" i="1"/>
  <c r="AE7" i="1" s="1"/>
  <c r="AA8" i="1"/>
  <c r="AE8" i="1" s="1"/>
  <c r="AA9" i="1"/>
  <c r="AE9" i="1" s="1"/>
  <c r="AA11" i="1"/>
  <c r="AE11" i="1" s="1"/>
  <c r="AA12" i="1"/>
  <c r="AE12" i="1" s="1"/>
  <c r="AA13" i="1"/>
  <c r="AE13" i="1" s="1"/>
  <c r="AA10" i="1"/>
  <c r="AE10" i="1" s="1"/>
  <c r="AA14" i="1"/>
  <c r="AE14" i="1" s="1"/>
  <c r="AA15" i="1"/>
  <c r="AE15" i="1" s="1"/>
  <c r="C63" i="1"/>
  <c r="AJ22" i="1"/>
  <c r="AK21" i="1" s="1"/>
  <c r="C73" i="1"/>
  <c r="AJ32" i="1"/>
  <c r="C70" i="1"/>
  <c r="AJ29" i="1"/>
  <c r="C66" i="1"/>
  <c r="AJ25" i="1"/>
  <c r="Y42" i="1"/>
  <c r="AC42" i="1" s="1"/>
  <c r="Y27" i="1"/>
  <c r="AC27" i="1" s="1"/>
  <c r="Y25" i="1"/>
  <c r="AC25" i="1" s="1"/>
  <c r="Y26" i="1"/>
  <c r="AC26" i="1" s="1"/>
  <c r="Y28" i="1"/>
  <c r="AC28" i="1" s="1"/>
  <c r="Y29" i="1"/>
  <c r="AC29" i="1" s="1"/>
  <c r="Y32" i="1"/>
  <c r="AC32" i="1" s="1"/>
  <c r="Y30" i="1"/>
  <c r="AC30" i="1" s="1"/>
  <c r="Y33" i="1"/>
  <c r="AC33" i="1" s="1"/>
  <c r="Y31" i="1"/>
  <c r="AC31" i="1" s="1"/>
  <c r="J73" i="1"/>
  <c r="AF33" i="1"/>
  <c r="M73" i="1" s="1"/>
  <c r="AN32" i="1"/>
  <c r="C51" i="1"/>
  <c r="AJ10" i="1"/>
  <c r="C64" i="1"/>
  <c r="AQ24" i="1"/>
  <c r="E64" i="1" s="1"/>
  <c r="AP24" i="1"/>
  <c r="D64" i="1" s="1"/>
  <c r="AJ23" i="1"/>
  <c r="AK23" i="1" s="1"/>
  <c r="AP23" i="1" s="1"/>
  <c r="D63" i="1" s="1"/>
  <c r="AL19" i="1"/>
  <c r="Y41" i="1"/>
  <c r="AC41" i="1" s="1"/>
  <c r="Y39" i="1"/>
  <c r="AC39" i="1" s="1"/>
  <c r="Y37" i="1"/>
  <c r="AC37" i="1" s="1"/>
  <c r="Y36" i="1"/>
  <c r="AC36" i="1" s="1"/>
  <c r="F59" i="1"/>
  <c r="AD19" i="1"/>
  <c r="I59" i="1" s="1"/>
  <c r="AL18" i="1"/>
  <c r="J62" i="1"/>
  <c r="AF22" i="1"/>
  <c r="M62" i="1" s="1"/>
  <c r="AN21" i="1"/>
  <c r="C56" i="1"/>
  <c r="AJ15" i="1"/>
  <c r="C55" i="1"/>
  <c r="AJ14" i="1"/>
  <c r="C47" i="1"/>
  <c r="Y24" i="1"/>
  <c r="AC24" i="1" s="1"/>
  <c r="Y7" i="1"/>
  <c r="AC7" i="1" s="1"/>
  <c r="Y8" i="1"/>
  <c r="AC8" i="1" s="1"/>
  <c r="Y9" i="1"/>
  <c r="AC9" i="1" s="1"/>
  <c r="Y10" i="1"/>
  <c r="AC10" i="1" s="1"/>
  <c r="Y11" i="1"/>
  <c r="AC11" i="1" s="1"/>
  <c r="Y12" i="1"/>
  <c r="AC12" i="1" s="1"/>
  <c r="Y14" i="1"/>
  <c r="AC14" i="1" s="1"/>
  <c r="Y13" i="1"/>
  <c r="AC13" i="1" s="1"/>
  <c r="Y15" i="1"/>
  <c r="AC15" i="1" s="1"/>
  <c r="Y17" i="1"/>
  <c r="AC17" i="1" s="1"/>
  <c r="Y16" i="1"/>
  <c r="AC16" i="1" s="1"/>
  <c r="AA23" i="1"/>
  <c r="AE23" i="1" s="1"/>
  <c r="AA17" i="1"/>
  <c r="AE17" i="1" s="1"/>
  <c r="AA19" i="1"/>
  <c r="AE19" i="1" s="1"/>
  <c r="AA16" i="1"/>
  <c r="AE16" i="1" s="1"/>
  <c r="AA21" i="1"/>
  <c r="AE21" i="1" s="1"/>
  <c r="Y35" i="1"/>
  <c r="AC35" i="1" s="1"/>
  <c r="C74" i="1"/>
  <c r="AJ33" i="1"/>
  <c r="C68" i="1"/>
  <c r="AJ27" i="1"/>
  <c r="C65" i="1"/>
  <c r="Y21" i="1"/>
  <c r="AC21" i="1" s="1"/>
  <c r="AA41" i="1"/>
  <c r="AE41" i="1" s="1"/>
  <c r="AA35" i="1"/>
  <c r="AE35" i="1" s="1"/>
  <c r="AA38" i="1"/>
  <c r="AE38" i="1" s="1"/>
  <c r="AA39" i="1"/>
  <c r="AE39" i="1" s="1"/>
  <c r="Y22" i="1"/>
  <c r="AC22" i="1" s="1"/>
  <c r="AA37" i="1"/>
  <c r="AE37" i="1" s="1"/>
  <c r="C54" i="1"/>
  <c r="AJ13" i="1"/>
  <c r="C52" i="1"/>
  <c r="AJ11" i="1"/>
  <c r="C48" i="1"/>
  <c r="AJ7" i="1"/>
  <c r="Y23" i="1"/>
  <c r="AC23" i="1" s="1"/>
  <c r="Y40" i="1"/>
  <c r="AC40" i="1" s="1"/>
  <c r="C72" i="1"/>
  <c r="AJ31" i="1"/>
  <c r="C69" i="1"/>
  <c r="AJ28" i="1"/>
  <c r="AA42" i="1"/>
  <c r="AE42" i="1" s="1"/>
  <c r="AA26" i="1"/>
  <c r="AE26" i="1" s="1"/>
  <c r="AA25" i="1"/>
  <c r="AE25" i="1" s="1"/>
  <c r="AA28" i="1"/>
  <c r="AE28" i="1" s="1"/>
  <c r="AA27" i="1"/>
  <c r="AE27" i="1" s="1"/>
  <c r="AA29" i="1"/>
  <c r="AE29" i="1" s="1"/>
  <c r="AA30" i="1"/>
  <c r="AE30" i="1" s="1"/>
  <c r="AA32" i="1"/>
  <c r="AE32" i="1" s="1"/>
  <c r="AA31" i="1"/>
  <c r="AE31" i="1" s="1"/>
  <c r="AA34" i="1"/>
  <c r="AE34" i="1" s="1"/>
  <c r="AA36" i="1"/>
  <c r="AE36" i="1" s="1"/>
  <c r="C82" i="1"/>
  <c r="AQ42" i="1"/>
  <c r="E82" i="1" s="1"/>
  <c r="AP42" i="1"/>
  <c r="D82" i="1" s="1"/>
  <c r="AJ41" i="1"/>
  <c r="AK41" i="1" s="1"/>
  <c r="AP41" i="1" s="1"/>
  <c r="D81" i="1" s="1"/>
  <c r="AF20" i="1" l="1"/>
  <c r="M60" i="1" s="1"/>
  <c r="AN17" i="1"/>
  <c r="AD20" i="1"/>
  <c r="I60" i="1" s="1"/>
  <c r="AF40" i="1"/>
  <c r="M80" i="1" s="1"/>
  <c r="AF18" i="1"/>
  <c r="M58" i="1" s="1"/>
  <c r="AN39" i="1"/>
  <c r="AK17" i="1"/>
  <c r="AP17" i="1" s="1"/>
  <c r="D57" i="1" s="1"/>
  <c r="AQ17" i="1"/>
  <c r="E57" i="1" s="1"/>
  <c r="J76" i="1"/>
  <c r="AF36" i="1"/>
  <c r="M76" i="1" s="1"/>
  <c r="AN35" i="1"/>
  <c r="J70" i="1"/>
  <c r="AF30" i="1"/>
  <c r="M70" i="1" s="1"/>
  <c r="AN29" i="1"/>
  <c r="F63" i="1"/>
  <c r="AD23" i="1"/>
  <c r="I63" i="1" s="1"/>
  <c r="AL22" i="1"/>
  <c r="J78" i="1"/>
  <c r="AF38" i="1"/>
  <c r="M78" i="1" s="1"/>
  <c r="AN37" i="1"/>
  <c r="AK27" i="1"/>
  <c r="F75" i="1"/>
  <c r="AD35" i="1"/>
  <c r="I75" i="1" s="1"/>
  <c r="AL34" i="1"/>
  <c r="F55" i="1"/>
  <c r="AD15" i="1"/>
  <c r="I55" i="1" s="1"/>
  <c r="AL14" i="1"/>
  <c r="F51" i="1"/>
  <c r="AD11" i="1"/>
  <c r="I51" i="1" s="1"/>
  <c r="AL10" i="1"/>
  <c r="AK10" i="1"/>
  <c r="F70" i="1"/>
  <c r="AD30" i="1"/>
  <c r="I70" i="1" s="1"/>
  <c r="AL29" i="1"/>
  <c r="AK25" i="1"/>
  <c r="AK32" i="1"/>
  <c r="J55" i="1"/>
  <c r="AF15" i="1"/>
  <c r="M55" i="1" s="1"/>
  <c r="AN14" i="1"/>
  <c r="J47" i="1"/>
  <c r="AF7" i="1"/>
  <c r="M47" i="1" s="1"/>
  <c r="J74" i="1"/>
  <c r="AF34" i="1"/>
  <c r="M74" i="1" s="1"/>
  <c r="AN33" i="1"/>
  <c r="AK7" i="1"/>
  <c r="AK13" i="1"/>
  <c r="J77" i="1"/>
  <c r="AF37" i="1"/>
  <c r="M77" i="1" s="1"/>
  <c r="AN36" i="1"/>
  <c r="J61" i="1"/>
  <c r="AF21" i="1"/>
  <c r="M61" i="1" s="1"/>
  <c r="AN20" i="1"/>
  <c r="F53" i="1"/>
  <c r="AD13" i="1"/>
  <c r="I53" i="1" s="1"/>
  <c r="AL12" i="1"/>
  <c r="AK14" i="1"/>
  <c r="AK15" i="1"/>
  <c r="AK39" i="1"/>
  <c r="F72" i="1"/>
  <c r="AD32" i="1"/>
  <c r="I72" i="1" s="1"/>
  <c r="AL31" i="1"/>
  <c r="AQ23" i="1"/>
  <c r="E63" i="1" s="1"/>
  <c r="J51" i="1"/>
  <c r="AF11" i="1"/>
  <c r="M51" i="1" s="1"/>
  <c r="AN10" i="1"/>
  <c r="AK35" i="1"/>
  <c r="AK18" i="1"/>
  <c r="J71" i="1"/>
  <c r="AF31" i="1"/>
  <c r="M71" i="1" s="1"/>
  <c r="AN30" i="1"/>
  <c r="J67" i="1"/>
  <c r="AF27" i="1"/>
  <c r="M67" i="1" s="1"/>
  <c r="AN26" i="1"/>
  <c r="J81" i="1"/>
  <c r="AF41" i="1"/>
  <c r="M81" i="1" s="1"/>
  <c r="AN40" i="1"/>
  <c r="J56" i="1"/>
  <c r="AF16" i="1"/>
  <c r="M56" i="1" s="1"/>
  <c r="AN15" i="1"/>
  <c r="F54" i="1"/>
  <c r="AD14" i="1"/>
  <c r="I54" i="1" s="1"/>
  <c r="AL13" i="1"/>
  <c r="F49" i="1"/>
  <c r="AD9" i="1"/>
  <c r="I49" i="1" s="1"/>
  <c r="AL8" i="1"/>
  <c r="F81" i="1"/>
  <c r="AD41" i="1"/>
  <c r="I81" i="1" s="1"/>
  <c r="AL40" i="1"/>
  <c r="J72" i="1"/>
  <c r="AF32" i="1"/>
  <c r="M72" i="1" s="1"/>
  <c r="AN31" i="1"/>
  <c r="AF28" i="1"/>
  <c r="M68" i="1" s="1"/>
  <c r="J68" i="1"/>
  <c r="AN27" i="1"/>
  <c r="AK28" i="1"/>
  <c r="AK31" i="1"/>
  <c r="AD40" i="1"/>
  <c r="I80" i="1" s="1"/>
  <c r="F80" i="1"/>
  <c r="AL39" i="1"/>
  <c r="J79" i="1"/>
  <c r="AF39" i="1"/>
  <c r="M79" i="1" s="1"/>
  <c r="AN38" i="1"/>
  <c r="F61" i="1"/>
  <c r="AD21" i="1"/>
  <c r="I61" i="1" s="1"/>
  <c r="AL20" i="1"/>
  <c r="J59" i="1"/>
  <c r="AF19" i="1"/>
  <c r="M59" i="1" s="1"/>
  <c r="AN18" i="1"/>
  <c r="F57" i="1"/>
  <c r="AD17" i="1"/>
  <c r="I57" i="1" s="1"/>
  <c r="AL16" i="1"/>
  <c r="F52" i="1"/>
  <c r="AD12" i="1"/>
  <c r="I52" i="1" s="1"/>
  <c r="AL11" i="1"/>
  <c r="F48" i="1"/>
  <c r="AD8" i="1"/>
  <c r="I48" i="1" s="1"/>
  <c r="AL7" i="1"/>
  <c r="F76" i="1"/>
  <c r="AD36" i="1"/>
  <c r="I76" i="1" s="1"/>
  <c r="AL35" i="1"/>
  <c r="F73" i="1"/>
  <c r="AD33" i="1"/>
  <c r="I73" i="1" s="1"/>
  <c r="AL32" i="1"/>
  <c r="F68" i="1"/>
  <c r="AD28" i="1"/>
  <c r="I68" i="1" s="1"/>
  <c r="AL27" i="1"/>
  <c r="F82" i="1"/>
  <c r="AS42" i="1"/>
  <c r="H82" i="1" s="1"/>
  <c r="AR42" i="1"/>
  <c r="G82" i="1" s="1"/>
  <c r="AD42" i="1"/>
  <c r="I82" i="1" s="1"/>
  <c r="AL41" i="1"/>
  <c r="AM41" i="1" s="1"/>
  <c r="AR41" i="1" s="1"/>
  <c r="G81" i="1" s="1"/>
  <c r="J53" i="1"/>
  <c r="AF13" i="1"/>
  <c r="M53" i="1" s="1"/>
  <c r="AN12" i="1"/>
  <c r="J48" i="1"/>
  <c r="AF8" i="1"/>
  <c r="M48" i="1" s="1"/>
  <c r="AN7" i="1"/>
  <c r="AK34" i="1"/>
  <c r="AK36" i="1"/>
  <c r="AK26" i="1"/>
  <c r="AK30" i="1"/>
  <c r="AK38" i="1"/>
  <c r="F74" i="1"/>
  <c r="AD34" i="1"/>
  <c r="I74" i="1" s="1"/>
  <c r="AL33" i="1"/>
  <c r="AK40" i="1"/>
  <c r="AK37" i="1"/>
  <c r="J65" i="1"/>
  <c r="AF25" i="1"/>
  <c r="M65" i="1" s="1"/>
  <c r="AQ21" i="1"/>
  <c r="E61" i="1" s="1"/>
  <c r="AP21" i="1"/>
  <c r="D61" i="1" s="1"/>
  <c r="AK33" i="1"/>
  <c r="J57" i="1"/>
  <c r="AF17" i="1"/>
  <c r="M57" i="1" s="1"/>
  <c r="AN16" i="1"/>
  <c r="F47" i="1"/>
  <c r="AD7" i="1"/>
  <c r="I47" i="1" s="1"/>
  <c r="F77" i="1"/>
  <c r="AD37" i="1"/>
  <c r="I77" i="1" s="1"/>
  <c r="AL36" i="1"/>
  <c r="F66" i="1"/>
  <c r="AD26" i="1"/>
  <c r="I66" i="1" s="1"/>
  <c r="AL25" i="1"/>
  <c r="AK29" i="1"/>
  <c r="AK22" i="1"/>
  <c r="J52" i="1"/>
  <c r="AF12" i="1"/>
  <c r="M52" i="1" s="1"/>
  <c r="AN11" i="1"/>
  <c r="AK20" i="1"/>
  <c r="AK16" i="1"/>
  <c r="J69" i="1"/>
  <c r="AF29" i="1"/>
  <c r="M69" i="1" s="1"/>
  <c r="AN28" i="1"/>
  <c r="J66" i="1"/>
  <c r="AF26" i="1"/>
  <c r="M66" i="1" s="1"/>
  <c r="AN25" i="1"/>
  <c r="AK11" i="1"/>
  <c r="J75" i="1"/>
  <c r="AF35" i="1"/>
  <c r="M75" i="1" s="1"/>
  <c r="AN34" i="1"/>
  <c r="J63" i="1"/>
  <c r="AF23" i="1"/>
  <c r="M63" i="1" s="1"/>
  <c r="AN22" i="1"/>
  <c r="F50" i="1"/>
  <c r="AD10" i="1"/>
  <c r="I50" i="1" s="1"/>
  <c r="AL9" i="1"/>
  <c r="AS24" i="1"/>
  <c r="H64" i="1" s="1"/>
  <c r="AR24" i="1"/>
  <c r="G64" i="1" s="1"/>
  <c r="F64" i="1"/>
  <c r="AD24" i="1"/>
  <c r="I64" i="1" s="1"/>
  <c r="AL23" i="1"/>
  <c r="AM23" i="1" s="1"/>
  <c r="AR23" i="1" s="1"/>
  <c r="G63" i="1" s="1"/>
  <c r="F79" i="1"/>
  <c r="AD39" i="1"/>
  <c r="I79" i="1" s="1"/>
  <c r="AL38" i="1"/>
  <c r="F65" i="1"/>
  <c r="AD25" i="1"/>
  <c r="I65" i="1" s="1"/>
  <c r="J54" i="1"/>
  <c r="AF14" i="1"/>
  <c r="M54" i="1" s="1"/>
  <c r="AN13" i="1"/>
  <c r="J64" i="1"/>
  <c r="AU24" i="1"/>
  <c r="L64" i="1" s="1"/>
  <c r="AF24" i="1"/>
  <c r="M64" i="1" s="1"/>
  <c r="AT24" i="1"/>
  <c r="K64" i="1" s="1"/>
  <c r="AN23" i="1"/>
  <c r="AO23" i="1" s="1"/>
  <c r="AT23" i="1" s="1"/>
  <c r="K63" i="1" s="1"/>
  <c r="AQ41" i="1"/>
  <c r="E81" i="1" s="1"/>
  <c r="J82" i="1"/>
  <c r="AU42" i="1"/>
  <c r="L82" i="1" s="1"/>
  <c r="AF42" i="1"/>
  <c r="M82" i="1" s="1"/>
  <c r="AT42" i="1"/>
  <c r="K82" i="1" s="1"/>
  <c r="AN41" i="1"/>
  <c r="AO41" i="1" s="1"/>
  <c r="AT41" i="1" s="1"/>
  <c r="K81" i="1" s="1"/>
  <c r="F62" i="1"/>
  <c r="AD22" i="1"/>
  <c r="I62" i="1" s="1"/>
  <c r="AL21" i="1"/>
  <c r="F56" i="1"/>
  <c r="AD16" i="1"/>
  <c r="I56" i="1" s="1"/>
  <c r="AL15" i="1"/>
  <c r="F71" i="1"/>
  <c r="AD31" i="1"/>
  <c r="I71" i="1" s="1"/>
  <c r="AL30" i="1"/>
  <c r="F69" i="1"/>
  <c r="AD29" i="1"/>
  <c r="I69" i="1" s="1"/>
  <c r="AL28" i="1"/>
  <c r="F67" i="1"/>
  <c r="AD27" i="1"/>
  <c r="I67" i="1" s="1"/>
  <c r="AL26" i="1"/>
  <c r="J50" i="1"/>
  <c r="AF10" i="1"/>
  <c r="M50" i="1" s="1"/>
  <c r="AN9" i="1"/>
  <c r="J49" i="1"/>
  <c r="AF9" i="1"/>
  <c r="M49" i="1" s="1"/>
  <c r="AN8" i="1"/>
  <c r="AK8" i="1"/>
  <c r="AK12" i="1"/>
  <c r="AK19" i="1"/>
  <c r="AK9" i="1"/>
  <c r="AO22" i="1" l="1"/>
  <c r="AM39" i="1"/>
  <c r="AS39" i="1" s="1"/>
  <c r="H79" i="1" s="1"/>
  <c r="AS41" i="1"/>
  <c r="H81" i="1" s="1"/>
  <c r="AM28" i="1"/>
  <c r="AR28" i="1" s="1"/>
  <c r="G68" i="1" s="1"/>
  <c r="AM38" i="1"/>
  <c r="AS38" i="1" s="1"/>
  <c r="H78" i="1" s="1"/>
  <c r="AM19" i="1"/>
  <c r="AM17" i="1"/>
  <c r="AS17" i="1" s="1"/>
  <c r="H57" i="1" s="1"/>
  <c r="AM15" i="1"/>
  <c r="AS15" i="1" s="1"/>
  <c r="H55" i="1" s="1"/>
  <c r="AO32" i="1"/>
  <c r="AT32" i="1" s="1"/>
  <c r="K72" i="1" s="1"/>
  <c r="AS19" i="1"/>
  <c r="H59" i="1" s="1"/>
  <c r="AR19" i="1"/>
  <c r="G59" i="1" s="1"/>
  <c r="AU32" i="1"/>
  <c r="L72" i="1" s="1"/>
  <c r="AQ8" i="1"/>
  <c r="E48" i="1" s="1"/>
  <c r="AP8" i="1"/>
  <c r="D48" i="1" s="1"/>
  <c r="AR38" i="1"/>
  <c r="G78" i="1" s="1"/>
  <c r="AO28" i="1"/>
  <c r="AP22" i="1"/>
  <c r="D62" i="1" s="1"/>
  <c r="AQ22" i="1"/>
  <c r="E62" i="1" s="1"/>
  <c r="AO39" i="1"/>
  <c r="AO9" i="1"/>
  <c r="AU23" i="1"/>
  <c r="L63" i="1" s="1"/>
  <c r="AQ11" i="1"/>
  <c r="E51" i="1" s="1"/>
  <c r="AP11" i="1"/>
  <c r="D51" i="1" s="1"/>
  <c r="AQ20" i="1"/>
  <c r="E60" i="1" s="1"/>
  <c r="AP20" i="1"/>
  <c r="D60" i="1" s="1"/>
  <c r="AM25" i="1"/>
  <c r="AP33" i="1"/>
  <c r="D73" i="1" s="1"/>
  <c r="AQ33" i="1"/>
  <c r="E73" i="1" s="1"/>
  <c r="AP40" i="1"/>
  <c r="D80" i="1" s="1"/>
  <c r="AQ40" i="1"/>
  <c r="E80" i="1" s="1"/>
  <c r="AP26" i="1"/>
  <c r="D66" i="1" s="1"/>
  <c r="AQ26" i="1"/>
  <c r="E66" i="1" s="1"/>
  <c r="AO12" i="1"/>
  <c r="AM16" i="1"/>
  <c r="AO31" i="1"/>
  <c r="AM13" i="1"/>
  <c r="AU41" i="1"/>
  <c r="L81" i="1" s="1"/>
  <c r="AO30" i="1"/>
  <c r="AO10" i="1"/>
  <c r="AQ15" i="1"/>
  <c r="E55" i="1" s="1"/>
  <c r="AP15" i="1"/>
  <c r="D55" i="1" s="1"/>
  <c r="AO36" i="1"/>
  <c r="AM37" i="1"/>
  <c r="AM29" i="1"/>
  <c r="AM34" i="1"/>
  <c r="AO29" i="1"/>
  <c r="AO19" i="1"/>
  <c r="AQ12" i="1"/>
  <c r="E52" i="1" s="1"/>
  <c r="AP12" i="1"/>
  <c r="D52" i="1" s="1"/>
  <c r="AM26" i="1"/>
  <c r="AM21" i="1"/>
  <c r="AO13" i="1"/>
  <c r="AR39" i="1"/>
  <c r="G79" i="1" s="1"/>
  <c r="AM9" i="1"/>
  <c r="AO25" i="1"/>
  <c r="AO11" i="1"/>
  <c r="AM33" i="1"/>
  <c r="AP36" i="1"/>
  <c r="D76" i="1" s="1"/>
  <c r="AQ36" i="1"/>
  <c r="E76" i="1" s="1"/>
  <c r="AM35" i="1"/>
  <c r="AR17" i="1"/>
  <c r="G57" i="1" s="1"/>
  <c r="AO18" i="1"/>
  <c r="AQ31" i="1"/>
  <c r="E71" i="1" s="1"/>
  <c r="AP31" i="1"/>
  <c r="D71" i="1" s="1"/>
  <c r="AM40" i="1"/>
  <c r="AO15" i="1"/>
  <c r="AO17" i="1"/>
  <c r="AQ14" i="1"/>
  <c r="E54" i="1" s="1"/>
  <c r="AP14" i="1"/>
  <c r="D54" i="1" s="1"/>
  <c r="AP13" i="1"/>
  <c r="D53" i="1" s="1"/>
  <c r="AQ13" i="1"/>
  <c r="E53" i="1" s="1"/>
  <c r="AO14" i="1"/>
  <c r="AP10" i="1"/>
  <c r="D50" i="1" s="1"/>
  <c r="AQ10" i="1"/>
  <c r="E50" i="1" s="1"/>
  <c r="AP27" i="1"/>
  <c r="D67" i="1" s="1"/>
  <c r="AQ27" i="1"/>
  <c r="E67" i="1" s="1"/>
  <c r="AS23" i="1"/>
  <c r="H63" i="1" s="1"/>
  <c r="AO35" i="1"/>
  <c r="AQ9" i="1"/>
  <c r="E49" i="1" s="1"/>
  <c r="AP9" i="1"/>
  <c r="D49" i="1" s="1"/>
  <c r="AU22" i="1"/>
  <c r="L62" i="1" s="1"/>
  <c r="AT22" i="1"/>
  <c r="K62" i="1" s="1"/>
  <c r="AM36" i="1"/>
  <c r="AQ38" i="1"/>
  <c r="E78" i="1" s="1"/>
  <c r="AP38" i="1"/>
  <c r="D78" i="1" s="1"/>
  <c r="AQ34" i="1"/>
  <c r="E74" i="1" s="1"/>
  <c r="AP34" i="1"/>
  <c r="D74" i="1" s="1"/>
  <c r="AM27" i="1"/>
  <c r="AM7" i="1"/>
  <c r="AM20" i="1"/>
  <c r="AQ28" i="1"/>
  <c r="E68" i="1" s="1"/>
  <c r="AP28" i="1"/>
  <c r="D68" i="1" s="1"/>
  <c r="AM18" i="1"/>
  <c r="AO40" i="1"/>
  <c r="AQ18" i="1"/>
  <c r="E58" i="1" s="1"/>
  <c r="AP18" i="1"/>
  <c r="D58" i="1" s="1"/>
  <c r="AM31" i="1"/>
  <c r="AM12" i="1"/>
  <c r="AQ7" i="1"/>
  <c r="E47" i="1" s="1"/>
  <c r="AP7" i="1"/>
  <c r="D47" i="1" s="1"/>
  <c r="AP32" i="1"/>
  <c r="D72" i="1" s="1"/>
  <c r="AQ32" i="1"/>
  <c r="E72" i="1" s="1"/>
  <c r="AM10" i="1"/>
  <c r="AO37" i="1"/>
  <c r="AQ19" i="1"/>
  <c r="E59" i="1" s="1"/>
  <c r="AP19" i="1"/>
  <c r="D59" i="1" s="1"/>
  <c r="AO8" i="1"/>
  <c r="AM30" i="1"/>
  <c r="AO21" i="1"/>
  <c r="AO34" i="1"/>
  <c r="AQ16" i="1"/>
  <c r="E56" i="1" s="1"/>
  <c r="AP16" i="1"/>
  <c r="D56" i="1" s="1"/>
  <c r="AQ29" i="1"/>
  <c r="E69" i="1" s="1"/>
  <c r="AP29" i="1"/>
  <c r="D69" i="1" s="1"/>
  <c r="AO16" i="1"/>
  <c r="AP37" i="1"/>
  <c r="D77" i="1" s="1"/>
  <c r="AQ37" i="1"/>
  <c r="E77" i="1" s="1"/>
  <c r="AP30" i="1"/>
  <c r="D70" i="1" s="1"/>
  <c r="AQ30" i="1"/>
  <c r="E70" i="1" s="1"/>
  <c r="AO7" i="1"/>
  <c r="AM32" i="1"/>
  <c r="AM11" i="1"/>
  <c r="AO38" i="1"/>
  <c r="AO27" i="1"/>
  <c r="AM8" i="1"/>
  <c r="AO26" i="1"/>
  <c r="AP35" i="1"/>
  <c r="D75" i="1" s="1"/>
  <c r="AQ35" i="1"/>
  <c r="E75" i="1" s="1"/>
  <c r="AP39" i="1"/>
  <c r="D79" i="1" s="1"/>
  <c r="AQ39" i="1"/>
  <c r="E79" i="1" s="1"/>
  <c r="AO20" i="1"/>
  <c r="AO33" i="1"/>
  <c r="AP25" i="1"/>
  <c r="D65" i="1" s="1"/>
  <c r="AQ25" i="1"/>
  <c r="E65" i="1" s="1"/>
  <c r="AM14" i="1"/>
  <c r="AM22" i="1"/>
  <c r="AR15" i="1" l="1"/>
  <c r="G55" i="1" s="1"/>
  <c r="AS28" i="1"/>
  <c r="H68" i="1" s="1"/>
  <c r="AU33" i="1"/>
  <c r="L73" i="1" s="1"/>
  <c r="AT33" i="1"/>
  <c r="K73" i="1" s="1"/>
  <c r="AT27" i="1"/>
  <c r="K67" i="1" s="1"/>
  <c r="AU27" i="1"/>
  <c r="L67" i="1" s="1"/>
  <c r="AR30" i="1"/>
  <c r="G70" i="1" s="1"/>
  <c r="AS30" i="1"/>
  <c r="H70" i="1" s="1"/>
  <c r="AS27" i="1"/>
  <c r="H67" i="1" s="1"/>
  <c r="AR27" i="1"/>
  <c r="G67" i="1" s="1"/>
  <c r="AR35" i="1"/>
  <c r="G75" i="1" s="1"/>
  <c r="AS35" i="1"/>
  <c r="H75" i="1" s="1"/>
  <c r="AU13" i="1"/>
  <c r="L53" i="1" s="1"/>
  <c r="AT13" i="1"/>
  <c r="K53" i="1" s="1"/>
  <c r="AS10" i="1"/>
  <c r="H50" i="1" s="1"/>
  <c r="AR10" i="1"/>
  <c r="G50" i="1" s="1"/>
  <c r="AS36" i="1"/>
  <c r="H76" i="1" s="1"/>
  <c r="AR36" i="1"/>
  <c r="G76" i="1" s="1"/>
  <c r="AU17" i="1"/>
  <c r="L57" i="1" s="1"/>
  <c r="AT17" i="1"/>
  <c r="K57" i="1" s="1"/>
  <c r="AR21" i="1"/>
  <c r="G61" i="1" s="1"/>
  <c r="AS21" i="1"/>
  <c r="H61" i="1" s="1"/>
  <c r="AR29" i="1"/>
  <c r="G69" i="1" s="1"/>
  <c r="AS29" i="1"/>
  <c r="H69" i="1" s="1"/>
  <c r="AR13" i="1"/>
  <c r="G53" i="1" s="1"/>
  <c r="AS13" i="1"/>
  <c r="H53" i="1" s="1"/>
  <c r="AR11" i="1"/>
  <c r="G51" i="1" s="1"/>
  <c r="AS11" i="1"/>
  <c r="H51" i="1" s="1"/>
  <c r="AS12" i="1"/>
  <c r="H52" i="1" s="1"/>
  <c r="AR12" i="1"/>
  <c r="G52" i="1" s="1"/>
  <c r="AR20" i="1"/>
  <c r="G60" i="1" s="1"/>
  <c r="AS20" i="1"/>
  <c r="H60" i="1" s="1"/>
  <c r="AR8" i="1"/>
  <c r="G48" i="1" s="1"/>
  <c r="AS8" i="1"/>
  <c r="H48" i="1" s="1"/>
  <c r="AR32" i="1"/>
  <c r="G72" i="1" s="1"/>
  <c r="AS32" i="1"/>
  <c r="H72" i="1" s="1"/>
  <c r="AU21" i="1"/>
  <c r="L61" i="1" s="1"/>
  <c r="AT21" i="1"/>
  <c r="K61" i="1" s="1"/>
  <c r="AS31" i="1"/>
  <c r="H71" i="1" s="1"/>
  <c r="AR31" i="1"/>
  <c r="G71" i="1" s="1"/>
  <c r="AR18" i="1"/>
  <c r="G58" i="1" s="1"/>
  <c r="AS18" i="1"/>
  <c r="H58" i="1" s="1"/>
  <c r="AR7" i="1"/>
  <c r="G47" i="1" s="1"/>
  <c r="AS7" i="1"/>
  <c r="H47" i="1" s="1"/>
  <c r="AS40" i="1"/>
  <c r="H80" i="1" s="1"/>
  <c r="AR40" i="1"/>
  <c r="G80" i="1" s="1"/>
  <c r="AR33" i="1"/>
  <c r="G73" i="1" s="1"/>
  <c r="AS33" i="1"/>
  <c r="H73" i="1" s="1"/>
  <c r="AS34" i="1"/>
  <c r="H74" i="1" s="1"/>
  <c r="AR34" i="1"/>
  <c r="G74" i="1" s="1"/>
  <c r="AU36" i="1"/>
  <c r="L76" i="1" s="1"/>
  <c r="AT36" i="1"/>
  <c r="K76" i="1" s="1"/>
  <c r="AT30" i="1"/>
  <c r="K70" i="1" s="1"/>
  <c r="AU30" i="1"/>
  <c r="L70" i="1" s="1"/>
  <c r="AS16" i="1"/>
  <c r="H56" i="1" s="1"/>
  <c r="AR16" i="1"/>
  <c r="G56" i="1" s="1"/>
  <c r="AT39" i="1"/>
  <c r="K79" i="1" s="1"/>
  <c r="AU39" i="1"/>
  <c r="L79" i="1" s="1"/>
  <c r="AS22" i="1"/>
  <c r="H62" i="1" s="1"/>
  <c r="AR22" i="1"/>
  <c r="G62" i="1" s="1"/>
  <c r="AU7" i="1"/>
  <c r="L47" i="1" s="1"/>
  <c r="AT7" i="1"/>
  <c r="K47" i="1" s="1"/>
  <c r="AT37" i="1"/>
  <c r="K77" i="1" s="1"/>
  <c r="AU37" i="1"/>
  <c r="L77" i="1" s="1"/>
  <c r="AT14" i="1"/>
  <c r="K54" i="1" s="1"/>
  <c r="AU14" i="1"/>
  <c r="L54" i="1" s="1"/>
  <c r="AU11" i="1"/>
  <c r="L51" i="1" s="1"/>
  <c r="AT11" i="1"/>
  <c r="K51" i="1" s="1"/>
  <c r="AS25" i="1"/>
  <c r="H65" i="1" s="1"/>
  <c r="AR25" i="1"/>
  <c r="G65" i="1" s="1"/>
  <c r="AS14" i="1"/>
  <c r="H54" i="1" s="1"/>
  <c r="AR14" i="1"/>
  <c r="G54" i="1" s="1"/>
  <c r="AU20" i="1"/>
  <c r="L60" i="1" s="1"/>
  <c r="AT20" i="1"/>
  <c r="K60" i="1" s="1"/>
  <c r="AU38" i="1"/>
  <c r="L78" i="1" s="1"/>
  <c r="AT38" i="1"/>
  <c r="K78" i="1" s="1"/>
  <c r="AU16" i="1"/>
  <c r="L56" i="1" s="1"/>
  <c r="AT16" i="1"/>
  <c r="K56" i="1" s="1"/>
  <c r="AU8" i="1"/>
  <c r="L48" i="1" s="1"/>
  <c r="AT8" i="1"/>
  <c r="K48" i="1" s="1"/>
  <c r="AU25" i="1"/>
  <c r="L65" i="1" s="1"/>
  <c r="AT25" i="1"/>
  <c r="K65" i="1" s="1"/>
  <c r="AU19" i="1"/>
  <c r="L59" i="1" s="1"/>
  <c r="AT19" i="1"/>
  <c r="K59" i="1" s="1"/>
  <c r="AT12" i="1"/>
  <c r="K52" i="1" s="1"/>
  <c r="AU12" i="1"/>
  <c r="L52" i="1" s="1"/>
  <c r="AU26" i="1"/>
  <c r="L66" i="1" s="1"/>
  <c r="AT26" i="1"/>
  <c r="K66" i="1" s="1"/>
  <c r="AT34" i="1"/>
  <c r="K74" i="1" s="1"/>
  <c r="AU34" i="1"/>
  <c r="L74" i="1" s="1"/>
  <c r="AT40" i="1"/>
  <c r="K80" i="1" s="1"/>
  <c r="AU40" i="1"/>
  <c r="L80" i="1" s="1"/>
  <c r="AT35" i="1"/>
  <c r="K75" i="1" s="1"/>
  <c r="AU35" i="1"/>
  <c r="L75" i="1" s="1"/>
  <c r="AU15" i="1"/>
  <c r="L55" i="1" s="1"/>
  <c r="AT15" i="1"/>
  <c r="K55" i="1" s="1"/>
  <c r="AT18" i="1"/>
  <c r="K58" i="1" s="1"/>
  <c r="AU18" i="1"/>
  <c r="L58" i="1" s="1"/>
  <c r="AS9" i="1"/>
  <c r="H49" i="1" s="1"/>
  <c r="AR9" i="1"/>
  <c r="G49" i="1" s="1"/>
  <c r="AR26" i="1"/>
  <c r="G66" i="1" s="1"/>
  <c r="AS26" i="1"/>
  <c r="H66" i="1" s="1"/>
  <c r="AU29" i="1"/>
  <c r="L69" i="1" s="1"/>
  <c r="AT29" i="1"/>
  <c r="K69" i="1" s="1"/>
  <c r="AR37" i="1"/>
  <c r="G77" i="1" s="1"/>
  <c r="AS37" i="1"/>
  <c r="H77" i="1" s="1"/>
  <c r="AU10" i="1"/>
  <c r="L50" i="1" s="1"/>
  <c r="AT10" i="1"/>
  <c r="K50" i="1" s="1"/>
  <c r="AT31" i="1"/>
  <c r="K71" i="1" s="1"/>
  <c r="AU31" i="1"/>
  <c r="L71" i="1" s="1"/>
  <c r="AU9" i="1"/>
  <c r="L49" i="1" s="1"/>
  <c r="AT9" i="1"/>
  <c r="K49" i="1" s="1"/>
  <c r="AT28" i="1"/>
  <c r="K68" i="1" s="1"/>
  <c r="AU28" i="1"/>
  <c r="L68" i="1" s="1"/>
</calcChain>
</file>

<file path=xl/sharedStrings.xml><?xml version="1.0" encoding="utf-8"?>
<sst xmlns="http://schemas.openxmlformats.org/spreadsheetml/2006/main" count="184" uniqueCount="95">
  <si>
    <t>健康寿命の算定表</t>
    <rPh sb="0" eb="2">
      <t>ケンコウ</t>
    </rPh>
    <rPh sb="2" eb="4">
      <t>ジュミョウ</t>
    </rPh>
    <rPh sb="5" eb="7">
      <t>サンテイ</t>
    </rPh>
    <rPh sb="7" eb="8">
      <t>ヒョウ</t>
    </rPh>
    <phoneticPr fontId="4"/>
  </si>
  <si>
    <t>【</t>
    <phoneticPr fontId="7"/>
  </si>
  <si>
    <t>宮崎県</t>
    <rPh sb="0" eb="3">
      <t>ミヤザキケン</t>
    </rPh>
    <phoneticPr fontId="7"/>
  </si>
  <si>
    <t>】</t>
    <phoneticPr fontId="7"/>
  </si>
  <si>
    <t>対象集団の基礎資料の入力［白色セル］</t>
    <rPh sb="0" eb="2">
      <t>タイショウ</t>
    </rPh>
    <rPh sb="2" eb="4">
      <t>シュウダン</t>
    </rPh>
    <rPh sb="5" eb="7">
      <t>キソ</t>
    </rPh>
    <rPh sb="7" eb="9">
      <t>シリョウ</t>
    </rPh>
    <rPh sb="10" eb="12">
      <t>ニュウリョク</t>
    </rPh>
    <rPh sb="13" eb="14">
      <t>シロ</t>
    </rPh>
    <rPh sb="14" eb="15">
      <t>イロ</t>
    </rPh>
    <phoneticPr fontId="4"/>
  </si>
  <si>
    <t>全国の基礎資料の入力［白色セル］</t>
    <rPh sb="0" eb="2">
      <t>ゼンコク</t>
    </rPh>
    <rPh sb="3" eb="5">
      <t>キソ</t>
    </rPh>
    <rPh sb="5" eb="7">
      <t>シリョウ</t>
    </rPh>
    <rPh sb="8" eb="10">
      <t>ニュウリョク</t>
    </rPh>
    <rPh sb="11" eb="13">
      <t>シロイロ</t>
    </rPh>
    <phoneticPr fontId="4"/>
  </si>
  <si>
    <t>健康寿命の算定：①計算の準備</t>
    <rPh sb="0" eb="2">
      <t>ケンコウ</t>
    </rPh>
    <rPh sb="2" eb="4">
      <t>ジュミョウ</t>
    </rPh>
    <rPh sb="5" eb="7">
      <t>サンテイ</t>
    </rPh>
    <rPh sb="9" eb="11">
      <t>ケイサン</t>
    </rPh>
    <rPh sb="12" eb="14">
      <t>ジュンビ</t>
    </rPh>
    <phoneticPr fontId="4"/>
  </si>
  <si>
    <t>②生命表の計算</t>
    <rPh sb="1" eb="3">
      <t>セイメイ</t>
    </rPh>
    <rPh sb="3" eb="4">
      <t>ヒョウ</t>
    </rPh>
    <rPh sb="5" eb="7">
      <t>ケイサン</t>
    </rPh>
    <phoneticPr fontId="4"/>
  </si>
  <si>
    <t>③健康・不健康の生命表の計算</t>
    <rPh sb="1" eb="3">
      <t>ケンコウ</t>
    </rPh>
    <rPh sb="4" eb="7">
      <t>フケンコウ</t>
    </rPh>
    <rPh sb="8" eb="10">
      <t>セイメイ</t>
    </rPh>
    <rPh sb="10" eb="11">
      <t>ヒョウ</t>
    </rPh>
    <rPh sb="12" eb="14">
      <t>ケイサン</t>
    </rPh>
    <phoneticPr fontId="4"/>
  </si>
  <si>
    <t>④健康寿命の計算</t>
    <rPh sb="1" eb="3">
      <t>ケンコウ</t>
    </rPh>
    <rPh sb="3" eb="5">
      <t>ジュミョウ</t>
    </rPh>
    <rPh sb="6" eb="8">
      <t>ケイサン</t>
    </rPh>
    <phoneticPr fontId="4"/>
  </si>
  <si>
    <t>⑤健康寿命の区間推定</t>
    <rPh sb="1" eb="3">
      <t>ケンコウ</t>
    </rPh>
    <rPh sb="3" eb="5">
      <t>ジュミョウ</t>
    </rPh>
    <rPh sb="6" eb="8">
      <t>クカン</t>
    </rPh>
    <rPh sb="8" eb="10">
      <t>スイテイ</t>
    </rPh>
    <phoneticPr fontId="4"/>
  </si>
  <si>
    <t>対象集団</t>
    <rPh sb="0" eb="2">
      <t>タイショウ</t>
    </rPh>
    <rPh sb="2" eb="4">
      <t>シュウダン</t>
    </rPh>
    <phoneticPr fontId="4"/>
  </si>
  <si>
    <t>全国（対象集団と同一年次）</t>
    <rPh sb="0" eb="2">
      <t>ゼンコク</t>
    </rPh>
    <rPh sb="3" eb="5">
      <t>タイショウ</t>
    </rPh>
    <rPh sb="5" eb="7">
      <t>シュウダン</t>
    </rPh>
    <rPh sb="8" eb="10">
      <t>ドウイツ</t>
    </rPh>
    <rPh sb="10" eb="12">
      <t>ネンジ</t>
    </rPh>
    <phoneticPr fontId="4"/>
  </si>
  <si>
    <t>補正係数</t>
    <rPh sb="0" eb="2">
      <t>ホセイ</t>
    </rPh>
    <rPh sb="2" eb="4">
      <t>ケイスウ</t>
    </rPh>
    <phoneticPr fontId="4"/>
  </si>
  <si>
    <t>基礎データ</t>
    <rPh sb="0" eb="2">
      <t>キソ</t>
    </rPh>
    <phoneticPr fontId="4"/>
  </si>
  <si>
    <t>生命表</t>
    <rPh sb="0" eb="2">
      <t>セイメイ</t>
    </rPh>
    <rPh sb="2" eb="3">
      <t>ヒョウ</t>
    </rPh>
    <phoneticPr fontId="4"/>
  </si>
  <si>
    <t>健康・不健康の生命表</t>
    <rPh sb="0" eb="2">
      <t>ケンコウ</t>
    </rPh>
    <rPh sb="3" eb="6">
      <t>フケンコウ</t>
    </rPh>
    <rPh sb="7" eb="9">
      <t>セイメイ</t>
    </rPh>
    <rPh sb="9" eb="10">
      <t>ヒョウ</t>
    </rPh>
    <phoneticPr fontId="4"/>
  </si>
  <si>
    <t>算定結果</t>
    <rPh sb="0" eb="2">
      <t>サンテイ</t>
    </rPh>
    <rPh sb="2" eb="4">
      <t>ケッカ</t>
    </rPh>
    <phoneticPr fontId="4"/>
  </si>
  <si>
    <t>分散の推定量</t>
    <rPh sb="0" eb="2">
      <t>ブンサン</t>
    </rPh>
    <rPh sb="3" eb="5">
      <t>スイテイ</t>
    </rPh>
    <rPh sb="5" eb="6">
      <t>リョウ</t>
    </rPh>
    <phoneticPr fontId="4"/>
  </si>
  <si>
    <t>95％信頼区間</t>
    <rPh sb="3" eb="5">
      <t>シンライ</t>
    </rPh>
    <rPh sb="5" eb="7">
      <t>クカン</t>
    </rPh>
    <phoneticPr fontId="4"/>
  </si>
  <si>
    <t>性別</t>
    <rPh sb="0" eb="2">
      <t>セイベツ</t>
    </rPh>
    <phoneticPr fontId="4"/>
  </si>
  <si>
    <t>年齢階級</t>
    <rPh sb="0" eb="2">
      <t>ネンレイ</t>
    </rPh>
    <rPh sb="2" eb="4">
      <t>カイキュウ</t>
    </rPh>
    <phoneticPr fontId="4"/>
  </si>
  <si>
    <t>人口</t>
    <rPh sb="0" eb="2">
      <t>ジンコウ</t>
    </rPh>
    <phoneticPr fontId="4"/>
  </si>
  <si>
    <t>死亡数</t>
    <rPh sb="0" eb="3">
      <t>シボウスウ</t>
    </rPh>
    <phoneticPr fontId="4"/>
  </si>
  <si>
    <t>不健康
割合の
分母</t>
    <rPh sb="0" eb="3">
      <t>フケンコウ</t>
    </rPh>
    <rPh sb="4" eb="6">
      <t>ワリアイ</t>
    </rPh>
    <rPh sb="8" eb="10">
      <t>ブンボ</t>
    </rPh>
    <phoneticPr fontId="4"/>
  </si>
  <si>
    <t>不健康
割合の
分子</t>
    <rPh sb="0" eb="3">
      <t>フケンコウ</t>
    </rPh>
    <rPh sb="4" eb="6">
      <t>ワリアイ</t>
    </rPh>
    <rPh sb="8" eb="10">
      <t>ブンシ</t>
    </rPh>
    <phoneticPr fontId="4"/>
  </si>
  <si>
    <t>年齢</t>
    <rPh sb="0" eb="2">
      <t>ネンレイ</t>
    </rPh>
    <phoneticPr fontId="4"/>
  </si>
  <si>
    <t>生存数</t>
    <rPh sb="0" eb="2">
      <t>セイゾン</t>
    </rPh>
    <rPh sb="2" eb="3">
      <t>スウ</t>
    </rPh>
    <phoneticPr fontId="4"/>
  </si>
  <si>
    <t>定常人口</t>
    <rPh sb="0" eb="2">
      <t>テイジョウ</t>
    </rPh>
    <rPh sb="2" eb="4">
      <t>ジンコウ</t>
    </rPh>
    <phoneticPr fontId="4"/>
  </si>
  <si>
    <t>定常人口用</t>
    <rPh sb="0" eb="2">
      <t>テイジョウ</t>
    </rPh>
    <rPh sb="2" eb="4">
      <t>ジンコウ</t>
    </rPh>
    <rPh sb="4" eb="5">
      <t>ヨウ</t>
    </rPh>
    <phoneticPr fontId="4"/>
  </si>
  <si>
    <t>死亡率用</t>
    <rPh sb="0" eb="3">
      <t>シボウリツ</t>
    </rPh>
    <rPh sb="3" eb="4">
      <t>ヨウ</t>
    </rPh>
    <phoneticPr fontId="4"/>
  </si>
  <si>
    <t>死亡率</t>
    <rPh sb="0" eb="3">
      <t>シボウリツ</t>
    </rPh>
    <phoneticPr fontId="4"/>
  </si>
  <si>
    <t>補正
死亡率</t>
    <rPh sb="0" eb="2">
      <t>ホセイ</t>
    </rPh>
    <rPh sb="3" eb="6">
      <t>シボウリツ</t>
    </rPh>
    <phoneticPr fontId="4"/>
  </si>
  <si>
    <t>不健康
割合</t>
    <rPh sb="0" eb="3">
      <t>フケンコウ</t>
    </rPh>
    <rPh sb="4" eb="6">
      <t>ワリアイ</t>
    </rPh>
    <phoneticPr fontId="4"/>
  </si>
  <si>
    <t>死亡確率</t>
    <rPh sb="0" eb="2">
      <t>シボウ</t>
    </rPh>
    <rPh sb="2" eb="4">
      <t>カクリツ</t>
    </rPh>
    <phoneticPr fontId="4"/>
  </si>
  <si>
    <t>健康の
定常人口</t>
    <rPh sb="0" eb="2">
      <t>ケンコウ</t>
    </rPh>
    <rPh sb="4" eb="6">
      <t>テイジョウ</t>
    </rPh>
    <rPh sb="6" eb="8">
      <t>ジンコウ</t>
    </rPh>
    <phoneticPr fontId="4"/>
  </si>
  <si>
    <t>不健康の
定常人口</t>
    <rPh sb="0" eb="3">
      <t>フケンコウ</t>
    </rPh>
    <rPh sb="5" eb="7">
      <t>テイジョウ</t>
    </rPh>
    <rPh sb="7" eb="9">
      <t>ジンコウ</t>
    </rPh>
    <phoneticPr fontId="4"/>
  </si>
  <si>
    <t>平均余命</t>
    <rPh sb="0" eb="2">
      <t>ヘイキン</t>
    </rPh>
    <rPh sb="2" eb="4">
      <t>ヨミョウ</t>
    </rPh>
    <phoneticPr fontId="4"/>
  </si>
  <si>
    <t>健康な
期間の平均</t>
    <rPh sb="0" eb="2">
      <t>ケンコウ</t>
    </rPh>
    <rPh sb="4" eb="6">
      <t>キカン</t>
    </rPh>
    <rPh sb="7" eb="9">
      <t>ヘイキン</t>
    </rPh>
    <phoneticPr fontId="4"/>
  </si>
  <si>
    <t>不健康な
期間の平均</t>
    <rPh sb="0" eb="3">
      <t>フケンコウ</t>
    </rPh>
    <rPh sb="5" eb="7">
      <t>キカン</t>
    </rPh>
    <rPh sb="8" eb="10">
      <t>ヘイキン</t>
    </rPh>
    <phoneticPr fontId="4"/>
  </si>
  <si>
    <t>(歳）</t>
    <rPh sb="1" eb="2">
      <t>サイ</t>
    </rPh>
    <phoneticPr fontId="4"/>
  </si>
  <si>
    <t>(人）</t>
    <rPh sb="1" eb="2">
      <t>ニン</t>
    </rPh>
    <phoneticPr fontId="4"/>
  </si>
  <si>
    <t>x</t>
    <phoneticPr fontId="4"/>
  </si>
  <si>
    <r>
      <t>l</t>
    </r>
    <r>
      <rPr>
        <i/>
        <sz val="9"/>
        <rFont val="Century"/>
        <family val="1"/>
      </rPr>
      <t>x</t>
    </r>
    <phoneticPr fontId="4"/>
  </si>
  <si>
    <r>
      <t>T</t>
    </r>
    <r>
      <rPr>
        <i/>
        <sz val="9"/>
        <rFont val="Century"/>
        <family val="1"/>
      </rPr>
      <t>x</t>
    </r>
    <phoneticPr fontId="4"/>
  </si>
  <si>
    <t>a</t>
    <phoneticPr fontId="4"/>
  </si>
  <si>
    <t>r</t>
    <phoneticPr fontId="4"/>
  </si>
  <si>
    <t>m</t>
    <phoneticPr fontId="4"/>
  </si>
  <si>
    <t>p</t>
    <phoneticPr fontId="4"/>
  </si>
  <si>
    <t>q</t>
    <phoneticPr fontId="4"/>
  </si>
  <si>
    <t>l</t>
    <phoneticPr fontId="4"/>
  </si>
  <si>
    <t>L</t>
    <phoneticPr fontId="4"/>
  </si>
  <si>
    <t>S</t>
    <phoneticPr fontId="4"/>
  </si>
  <si>
    <r>
      <t>L</t>
    </r>
    <r>
      <rPr>
        <sz val="11"/>
        <rFont val="ＭＳ 明朝"/>
        <family val="1"/>
        <charset val="128"/>
      </rPr>
      <t>*(1-</t>
    </r>
    <r>
      <rPr>
        <i/>
        <sz val="11"/>
        <rFont val="Symbol"/>
        <family val="1"/>
        <charset val="2"/>
      </rPr>
      <t>p</t>
    </r>
    <r>
      <rPr>
        <sz val="11"/>
        <rFont val="ＭＳ 明朝"/>
        <family val="1"/>
        <charset val="128"/>
      </rPr>
      <t>)</t>
    </r>
    <phoneticPr fontId="4"/>
  </si>
  <si>
    <r>
      <t>L</t>
    </r>
    <r>
      <rPr>
        <sz val="11"/>
        <rFont val="ＭＳ 明朝"/>
        <family val="1"/>
        <charset val="128"/>
      </rPr>
      <t>*</t>
    </r>
    <r>
      <rPr>
        <i/>
        <sz val="11"/>
        <rFont val="Symbol"/>
        <family val="1"/>
        <charset val="2"/>
      </rPr>
      <t>p</t>
    </r>
    <phoneticPr fontId="4"/>
  </si>
  <si>
    <t>e</t>
    <phoneticPr fontId="4"/>
  </si>
  <si>
    <t>ξ</t>
    <phoneticPr fontId="4"/>
  </si>
  <si>
    <r>
      <t>ξ</t>
    </r>
    <r>
      <rPr>
        <i/>
        <sz val="11"/>
        <rFont val="Century"/>
        <family val="1"/>
      </rPr>
      <t>/e</t>
    </r>
    <phoneticPr fontId="4"/>
  </si>
  <si>
    <t>h</t>
    <phoneticPr fontId="4"/>
  </si>
  <si>
    <r>
      <t>h</t>
    </r>
    <r>
      <rPr>
        <i/>
        <sz val="11"/>
        <rFont val="Century"/>
        <family val="1"/>
      </rPr>
      <t>/e</t>
    </r>
    <phoneticPr fontId="4"/>
  </si>
  <si>
    <r>
      <t>V{</t>
    </r>
    <r>
      <rPr>
        <i/>
        <sz val="11"/>
        <rFont val="Century"/>
        <family val="1"/>
      </rPr>
      <t>q</t>
    </r>
    <r>
      <rPr>
        <sz val="11"/>
        <rFont val="ＭＳ 明朝"/>
        <family val="1"/>
        <charset val="128"/>
      </rPr>
      <t>}</t>
    </r>
    <phoneticPr fontId="4"/>
  </si>
  <si>
    <r>
      <t>V{</t>
    </r>
    <r>
      <rPr>
        <i/>
        <sz val="11"/>
        <rFont val="Symbol"/>
        <family val="1"/>
        <charset val="2"/>
      </rPr>
      <t>p</t>
    </r>
    <r>
      <rPr>
        <sz val="11"/>
        <rFont val="ＭＳ 明朝"/>
        <family val="1"/>
        <charset val="128"/>
      </rPr>
      <t>}</t>
    </r>
    <phoneticPr fontId="4"/>
  </si>
  <si>
    <r>
      <t>V{</t>
    </r>
    <r>
      <rPr>
        <i/>
        <sz val="11"/>
        <rFont val="Century"/>
        <family val="1"/>
      </rPr>
      <t>e</t>
    </r>
    <r>
      <rPr>
        <sz val="11"/>
        <rFont val="ＭＳ 明朝"/>
        <family val="1"/>
        <charset val="128"/>
      </rPr>
      <t>}</t>
    </r>
    <phoneticPr fontId="4"/>
  </si>
  <si>
    <r>
      <t>V{</t>
    </r>
    <r>
      <rPr>
        <i/>
        <sz val="11"/>
        <rFont val="ＭＳ 明朝"/>
        <family val="1"/>
        <charset val="128"/>
      </rPr>
      <t>ξ</t>
    </r>
    <r>
      <rPr>
        <sz val="11"/>
        <rFont val="ＭＳ 明朝"/>
        <family val="1"/>
        <charset val="128"/>
      </rPr>
      <t>}</t>
    </r>
    <phoneticPr fontId="4"/>
  </si>
  <si>
    <r>
      <t>V{</t>
    </r>
    <r>
      <rPr>
        <i/>
        <sz val="11"/>
        <rFont val="Symbol"/>
        <family val="1"/>
        <charset val="2"/>
      </rPr>
      <t>h</t>
    </r>
    <r>
      <rPr>
        <sz val="11"/>
        <rFont val="ＭＳ 明朝"/>
        <family val="1"/>
        <charset val="128"/>
      </rPr>
      <t>}</t>
    </r>
    <phoneticPr fontId="4"/>
  </si>
  <si>
    <t>下限</t>
    <rPh sb="0" eb="2">
      <t>カゲン</t>
    </rPh>
    <phoneticPr fontId="4"/>
  </si>
  <si>
    <t>上限</t>
    <rPh sb="0" eb="2">
      <t>ジョウゲン</t>
    </rPh>
    <phoneticPr fontId="4"/>
  </si>
  <si>
    <t>男</t>
    <rPh sb="0" eb="1">
      <t>オトコ</t>
    </rPh>
    <phoneticPr fontId="4"/>
  </si>
  <si>
    <t xml:space="preserve"> 0～ 4</t>
  </si>
  <si>
    <t xml:space="preserve"> 5～ 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</si>
  <si>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</si>
  <si>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</si>
  <si>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</si>
  <si>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</si>
  <si>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</si>
  <si>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</si>
  <si>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</si>
  <si>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</si>
  <si>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</si>
  <si>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</si>
  <si>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</si>
  <si>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</si>
  <si>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</si>
  <si>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</si>
  <si>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</si>
  <si>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85歳以上</t>
    <rPh sb="2" eb="3">
      <t>サイ</t>
    </rPh>
    <rPh sb="3" eb="5">
      <t>イジョウ</t>
    </rPh>
    <phoneticPr fontId="15"/>
  </si>
  <si>
    <t>女</t>
    <rPh sb="0" eb="1">
      <t>オンナ</t>
    </rPh>
    <phoneticPr fontId="4"/>
  </si>
  <si>
    <t>対象集団の算定結果［水色セル］</t>
    <rPh sb="0" eb="2">
      <t>タイショウ</t>
    </rPh>
    <rPh sb="2" eb="4">
      <t>シュウダン</t>
    </rPh>
    <rPh sb="5" eb="7">
      <t>サンテイ</t>
    </rPh>
    <rPh sb="7" eb="9">
      <t>ケッカ</t>
    </rPh>
    <rPh sb="10" eb="12">
      <t>ミズイロ</t>
    </rPh>
    <phoneticPr fontId="4"/>
  </si>
  <si>
    <t>#：平均余命に対する割合</t>
    <rPh sb="2" eb="4">
      <t>ヘイキン</t>
    </rPh>
    <rPh sb="4" eb="6">
      <t>ヨミョウ</t>
    </rPh>
    <rPh sb="7" eb="8">
      <t>タイ</t>
    </rPh>
    <rPh sb="10" eb="12">
      <t>ワリアイ</t>
    </rPh>
    <phoneticPr fontId="4"/>
  </si>
  <si>
    <t>年齢
（歳）</t>
    <rPh sb="0" eb="2">
      <t>ネンレイ</t>
    </rPh>
    <rPh sb="4" eb="5">
      <t>サイ</t>
    </rPh>
    <phoneticPr fontId="4"/>
  </si>
  <si>
    <t>健康な期間の平均</t>
    <rPh sb="0" eb="2">
      <t>ケンコウ</t>
    </rPh>
    <rPh sb="3" eb="5">
      <t>キカン</t>
    </rPh>
    <rPh sb="6" eb="8">
      <t>ヘイキン</t>
    </rPh>
    <phoneticPr fontId="4"/>
  </si>
  <si>
    <t>不健康な期間の平均</t>
    <rPh sb="0" eb="3">
      <t>フケンコウ</t>
    </rPh>
    <rPh sb="4" eb="6">
      <t>キカン</t>
    </rPh>
    <rPh sb="7" eb="9">
      <t>ヘイキン</t>
    </rPh>
    <phoneticPr fontId="4"/>
  </si>
  <si>
    <t>（年）</t>
    <rPh sb="1" eb="2">
      <t>ネン</t>
    </rPh>
    <phoneticPr fontId="4"/>
  </si>
  <si>
    <t>（％）#</t>
    <phoneticPr fontId="4"/>
  </si>
  <si>
    <t>平成26年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</si>
</sst>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0_);[Red]\(0\)"/>
    <numFmt numFmtId="177" formatCode="#,##0_);[Red]\(#,##0\)"/>
    <numFmt numFmtId="178" formatCode="0.00_ "/>
    <numFmt numFmtId="179" formatCode="0.0000_ "/>
    <numFmt numFmtId="180" formatCode="0.000_ "/>
    <numFmt numFmtId="181" formatCode="0_ "/>
    <numFmt numFmtId="182" formatCode="0.0_ "/>
  </numFmts>
  <fonts count="36" x14ac:knownFonts="1">
    <font>
      <sz val="11"/>
      <color theme="1"/>
      <name val="Meiryo UI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2"/>
      <name val="ＭＳ ゴシック"/>
      <family val="3"/>
      <charset val="128"/>
    </font>
    <font>
      <sz val="6"/>
      <name val="Meiryo UI"/>
      <family val="2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i/>
      <sz val="11"/>
      <name val="Century"/>
      <family val="1"/>
    </font>
    <font>
      <i/>
      <sz val="9"/>
      <name val="Century"/>
      <family val="1"/>
    </font>
    <font>
      <i/>
      <sz val="11"/>
      <name val="ＭＳ 明朝"/>
      <family val="1"/>
      <charset val="128"/>
    </font>
    <font>
      <i/>
      <sz val="11"/>
      <name val="Symbol"/>
      <family val="1"/>
      <charset val="2"/>
    </font>
    <font>
      <sz val="11"/>
      <name val="Symbol"/>
      <family val="1"/>
      <charset val="2"/>
    </font>
    <font>
      <sz val="11"/>
      <name val="Century"/>
      <family val="1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4"/>
      <name val="Terminal"/>
      <charset val="128"/>
    </font>
    <font>
      <sz val="11"/>
      <color rgb="FF006100"/>
      <name val="ＭＳ Ｐゴシック"/>
      <family val="3"/>
      <charset val="12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CFF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</borders>
  <cellStyleXfs count="63">
    <xf numFmtId="0" fontId="0" fillId="0" borderId="0">
      <alignment vertical="center"/>
    </xf>
    <xf numFmtId="0" fontId="1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6" fillId="8" borderId="8" applyNumberFormat="0" applyFont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6" borderId="4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38" fontId="25" fillId="0" borderId="0" applyFont="0" applyFill="0" applyBorder="0" applyAlignment="0" applyProtection="0"/>
    <xf numFmtId="38" fontId="25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6" fillId="0" borderId="1" applyNumberFormat="0" applyFill="0" applyAlignment="0" applyProtection="0">
      <alignment vertical="center"/>
    </xf>
    <xf numFmtId="0" fontId="27" fillId="0" borderId="2" applyNumberFormat="0" applyFill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6" borderId="5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6" fontId="25" fillId="0" borderId="0" applyFont="0" applyFill="0" applyBorder="0" applyAlignment="0" applyProtection="0"/>
    <xf numFmtId="0" fontId="32" fillId="5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33" fillId="0" borderId="0"/>
    <xf numFmtId="37" fontId="34" fillId="0" borderId="0"/>
    <xf numFmtId="0" fontId="25" fillId="0" borderId="0"/>
    <xf numFmtId="0" fontId="16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35" fillId="2" borderId="0" applyNumberFormat="0" applyBorder="0" applyAlignment="0" applyProtection="0">
      <alignment vertical="center"/>
    </xf>
  </cellStyleXfs>
  <cellXfs count="222">
    <xf numFmtId="0" fontId="0" fillId="0" borderId="0" xfId="0">
      <alignment vertical="center"/>
    </xf>
    <xf numFmtId="0" fontId="5" fillId="0" borderId="0" xfId="1" applyFont="1" applyAlignment="1" applyProtection="1">
      <alignment vertical="center"/>
    </xf>
    <xf numFmtId="0" fontId="6" fillId="0" borderId="0" xfId="1" applyFont="1" applyAlignment="1" applyProtection="1">
      <alignment horizontal="right" vertical="center"/>
    </xf>
    <xf numFmtId="0" fontId="6" fillId="0" borderId="0" xfId="1" applyFont="1" applyAlignment="1" applyProtection="1">
      <alignment horizontal="distributed" vertical="center"/>
    </xf>
    <xf numFmtId="0" fontId="6" fillId="0" borderId="0" xfId="1" applyFont="1" applyAlignment="1" applyProtection="1">
      <alignment vertical="center"/>
    </xf>
    <xf numFmtId="0" fontId="5" fillId="34" borderId="13" xfId="1" applyFont="1" applyFill="1" applyBorder="1" applyAlignment="1" applyProtection="1">
      <alignment vertical="center"/>
    </xf>
    <xf numFmtId="0" fontId="5" fillId="0" borderId="0" xfId="1" applyFont="1" applyAlignment="1" applyProtection="1">
      <alignment horizontal="center" vertical="center" wrapText="1"/>
    </xf>
    <xf numFmtId="0" fontId="5" fillId="34" borderId="21" xfId="1" applyFont="1" applyFill="1" applyBorder="1" applyAlignment="1" applyProtection="1">
      <alignment horizontal="center" vertical="center" wrapText="1"/>
    </xf>
    <xf numFmtId="0" fontId="5" fillId="34" borderId="22" xfId="1" applyFont="1" applyFill="1" applyBorder="1" applyAlignment="1" applyProtection="1">
      <alignment horizontal="center" vertical="center"/>
    </xf>
    <xf numFmtId="0" fontId="5" fillId="34" borderId="23" xfId="1" applyFont="1" applyFill="1" applyBorder="1" applyAlignment="1" applyProtection="1">
      <alignment horizontal="center" vertical="center" wrapText="1"/>
    </xf>
    <xf numFmtId="0" fontId="8" fillId="34" borderId="23" xfId="1" applyFont="1" applyFill="1" applyBorder="1" applyAlignment="1" applyProtection="1">
      <alignment horizontal="center" vertical="center" wrapText="1"/>
    </xf>
    <xf numFmtId="0" fontId="8" fillId="34" borderId="24" xfId="1" applyFont="1" applyFill="1" applyBorder="1" applyAlignment="1" applyProtection="1">
      <alignment horizontal="center" vertical="center" wrapText="1"/>
    </xf>
    <xf numFmtId="0" fontId="5" fillId="34" borderId="25" xfId="1" applyFont="1" applyFill="1" applyBorder="1" applyAlignment="1" applyProtection="1">
      <alignment horizontal="center" vertical="center"/>
    </xf>
    <xf numFmtId="0" fontId="5" fillId="34" borderId="23" xfId="1" applyFont="1" applyFill="1" applyBorder="1" applyAlignment="1" applyProtection="1">
      <alignment horizontal="center" vertical="center"/>
    </xf>
    <xf numFmtId="0" fontId="5" fillId="34" borderId="24" xfId="1" applyFont="1" applyFill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center" vertical="center"/>
    </xf>
    <xf numFmtId="0" fontId="5" fillId="34" borderId="26" xfId="1" applyFont="1" applyFill="1" applyBorder="1" applyAlignment="1" applyProtection="1">
      <alignment horizontal="center" vertical="center" wrapText="1"/>
    </xf>
    <xf numFmtId="0" fontId="5" fillId="34" borderId="27" xfId="1" applyFont="1" applyFill="1" applyBorder="1" applyAlignment="1" applyProtection="1">
      <alignment horizontal="center" vertical="center" wrapText="1"/>
    </xf>
    <xf numFmtId="0" fontId="5" fillId="34" borderId="28" xfId="1" applyFont="1" applyFill="1" applyBorder="1" applyAlignment="1" applyProtection="1">
      <alignment horizontal="center" vertical="center" wrapText="1"/>
    </xf>
    <xf numFmtId="0" fontId="5" fillId="34" borderId="31" xfId="1" applyFont="1" applyFill="1" applyBorder="1" applyAlignment="1" applyProtection="1">
      <alignment horizontal="center" vertical="center" wrapText="1"/>
    </xf>
    <xf numFmtId="0" fontId="5" fillId="34" borderId="33" xfId="1" applyFont="1" applyFill="1" applyBorder="1" applyAlignment="1" applyProtection="1">
      <alignment horizontal="center" vertical="center" wrapText="1"/>
    </xf>
    <xf numFmtId="0" fontId="5" fillId="34" borderId="34" xfId="1" applyFont="1" applyFill="1" applyBorder="1" applyAlignment="1" applyProtection="1">
      <alignment horizontal="center" vertical="center" wrapText="1"/>
    </xf>
    <xf numFmtId="0" fontId="5" fillId="34" borderId="33" xfId="1" applyFont="1" applyFill="1" applyBorder="1" applyAlignment="1" applyProtection="1">
      <alignment vertical="center"/>
    </xf>
    <xf numFmtId="0" fontId="5" fillId="34" borderId="35" xfId="1" applyFont="1" applyFill="1" applyBorder="1" applyAlignment="1" applyProtection="1">
      <alignment horizontal="center" vertical="center"/>
    </xf>
    <xf numFmtId="0" fontId="5" fillId="34" borderId="36" xfId="1" applyFont="1" applyFill="1" applyBorder="1" applyAlignment="1" applyProtection="1">
      <alignment horizontal="center" vertical="center" wrapText="1"/>
    </xf>
    <xf numFmtId="0" fontId="5" fillId="34" borderId="33" xfId="1" applyFont="1" applyFill="1" applyBorder="1" applyAlignment="1" applyProtection="1">
      <alignment horizontal="center" vertical="center"/>
    </xf>
    <xf numFmtId="0" fontId="5" fillId="34" borderId="34" xfId="1" applyFont="1" applyFill="1" applyBorder="1" applyAlignment="1" applyProtection="1">
      <alignment horizontal="center" vertical="center"/>
    </xf>
    <xf numFmtId="0" fontId="9" fillId="34" borderId="34" xfId="1" applyFont="1" applyFill="1" applyBorder="1" applyAlignment="1" applyProtection="1">
      <alignment horizontal="center" vertical="center"/>
    </xf>
    <xf numFmtId="0" fontId="9" fillId="34" borderId="36" xfId="1" applyFont="1" applyFill="1" applyBorder="1" applyAlignment="1" applyProtection="1">
      <alignment horizontal="center" vertical="center"/>
    </xf>
    <xf numFmtId="0" fontId="9" fillId="34" borderId="33" xfId="1" applyFont="1" applyFill="1" applyBorder="1" applyAlignment="1" applyProtection="1">
      <alignment horizontal="center" vertical="center" wrapText="1"/>
    </xf>
    <xf numFmtId="0" fontId="9" fillId="34" borderId="34" xfId="1" applyFont="1" applyFill="1" applyBorder="1" applyAlignment="1" applyProtection="1">
      <alignment horizontal="center" vertical="center" wrapText="1"/>
    </xf>
    <xf numFmtId="0" fontId="11" fillId="34" borderId="35" xfId="1" applyFont="1" applyFill="1" applyBorder="1" applyAlignment="1" applyProtection="1">
      <alignment horizontal="center" vertical="center" wrapText="1"/>
    </xf>
    <xf numFmtId="0" fontId="12" fillId="34" borderId="36" xfId="1" applyFont="1" applyFill="1" applyBorder="1" applyAlignment="1" applyProtection="1">
      <alignment horizontal="center" vertical="center" wrapText="1"/>
    </xf>
    <xf numFmtId="0" fontId="9" fillId="34" borderId="33" xfId="1" applyFont="1" applyFill="1" applyBorder="1" applyAlignment="1" applyProtection="1">
      <alignment horizontal="center" vertical="center"/>
    </xf>
    <xf numFmtId="0" fontId="13" fillId="34" borderId="36" xfId="1" applyFont="1" applyFill="1" applyBorder="1" applyAlignment="1" applyProtection="1">
      <alignment horizontal="center" vertical="center"/>
    </xf>
    <xf numFmtId="0" fontId="13" fillId="34" borderId="29" xfId="1" applyFont="1" applyFill="1" applyBorder="1" applyAlignment="1" applyProtection="1">
      <alignment horizontal="center" vertical="center"/>
    </xf>
    <xf numFmtId="0" fontId="9" fillId="34" borderId="35" xfId="1" applyFont="1" applyFill="1" applyBorder="1" applyAlignment="1" applyProtection="1">
      <alignment horizontal="center" vertical="center"/>
    </xf>
    <xf numFmtId="0" fontId="9" fillId="34" borderId="31" xfId="1" applyFont="1" applyFill="1" applyBorder="1" applyAlignment="1" applyProtection="1">
      <alignment horizontal="center" vertical="center"/>
    </xf>
    <xf numFmtId="0" fontId="11" fillId="34" borderId="29" xfId="1" applyFont="1" applyFill="1" applyBorder="1" applyAlignment="1" applyProtection="1">
      <alignment horizontal="center" vertical="center"/>
    </xf>
    <xf numFmtId="0" fontId="12" fillId="34" borderId="29" xfId="1" applyFont="1" applyFill="1" applyBorder="1" applyAlignment="1" applyProtection="1">
      <alignment horizontal="center" vertical="center"/>
    </xf>
    <xf numFmtId="0" fontId="12" fillId="34" borderId="30" xfId="1" applyFont="1" applyFill="1" applyBorder="1" applyAlignment="1" applyProtection="1">
      <alignment horizontal="center" vertical="center"/>
    </xf>
    <xf numFmtId="0" fontId="14" fillId="34" borderId="31" xfId="1" applyFont="1" applyFill="1" applyBorder="1" applyAlignment="1" applyProtection="1">
      <alignment horizontal="center" vertical="center"/>
    </xf>
    <xf numFmtId="0" fontId="14" fillId="34" borderId="12" xfId="1" applyFont="1" applyFill="1" applyBorder="1" applyAlignment="1" applyProtection="1">
      <alignment horizontal="center" vertical="center"/>
    </xf>
    <xf numFmtId="0" fontId="5" fillId="34" borderId="10" xfId="1" applyFont="1" applyFill="1" applyBorder="1" applyAlignment="1" applyProtection="1">
      <alignment vertical="center"/>
    </xf>
    <xf numFmtId="0" fontId="14" fillId="34" borderId="29" xfId="1" applyFont="1" applyFill="1" applyBorder="1" applyAlignment="1" applyProtection="1">
      <alignment horizontal="center" vertical="center"/>
    </xf>
    <xf numFmtId="0" fontId="14" fillId="34" borderId="30" xfId="1" applyFont="1" applyFill="1" applyBorder="1" applyAlignment="1" applyProtection="1">
      <alignment horizontal="center" vertical="center"/>
    </xf>
    <xf numFmtId="0" fontId="5" fillId="34" borderId="31" xfId="1" applyFont="1" applyFill="1" applyBorder="1" applyAlignment="1" applyProtection="1">
      <alignment horizontal="center" vertical="center"/>
    </xf>
    <xf numFmtId="0" fontId="5" fillId="34" borderId="29" xfId="1" applyFont="1" applyFill="1" applyBorder="1" applyAlignment="1" applyProtection="1">
      <alignment horizontal="center" vertical="center"/>
    </xf>
    <xf numFmtId="0" fontId="5" fillId="34" borderId="30" xfId="1" applyFont="1" applyFill="1" applyBorder="1" applyAlignment="1" applyProtection="1">
      <alignment horizontal="center" vertical="center"/>
    </xf>
    <xf numFmtId="0" fontId="5" fillId="34" borderId="21" xfId="1" applyFont="1" applyFill="1" applyBorder="1" applyAlignment="1" applyProtection="1">
      <alignment horizontal="center" vertical="center"/>
    </xf>
    <xf numFmtId="176" fontId="5" fillId="34" borderId="37" xfId="1" applyNumberFormat="1" applyFont="1" applyFill="1" applyBorder="1" applyAlignment="1" applyProtection="1">
      <alignment horizontal="center" vertical="center"/>
    </xf>
    <xf numFmtId="177" fontId="5" fillId="0" borderId="38" xfId="1" applyNumberFormat="1" applyFont="1" applyFill="1" applyBorder="1" applyAlignment="1" applyProtection="1">
      <alignment vertical="center" shrinkToFit="1"/>
      <protection locked="0"/>
    </xf>
    <xf numFmtId="177" fontId="5" fillId="0" borderId="38" xfId="1" applyNumberFormat="1" applyFont="1" applyBorder="1" applyAlignment="1" applyProtection="1">
      <alignment vertical="center"/>
      <protection locked="0"/>
    </xf>
    <xf numFmtId="177" fontId="5" fillId="0" borderId="39" xfId="1" applyNumberFormat="1" applyFont="1" applyFill="1" applyBorder="1" applyAlignment="1">
      <alignment vertical="center"/>
    </xf>
    <xf numFmtId="177" fontId="5" fillId="34" borderId="40" xfId="1" applyNumberFormat="1" applyFont="1" applyFill="1" applyBorder="1" applyAlignment="1" applyProtection="1">
      <alignment horizontal="center" vertical="center"/>
    </xf>
    <xf numFmtId="177" fontId="5" fillId="34" borderId="38" xfId="1" applyNumberFormat="1" applyFont="1" applyFill="1" applyBorder="1" applyAlignment="1" applyProtection="1">
      <alignment horizontal="center" vertical="center"/>
    </xf>
    <xf numFmtId="177" fontId="5" fillId="0" borderId="39" xfId="1" applyNumberFormat="1" applyFont="1" applyBorder="1" applyAlignment="1" applyProtection="1">
      <alignment vertical="center"/>
      <protection locked="0"/>
    </xf>
    <xf numFmtId="176" fontId="5" fillId="0" borderId="0" xfId="1" applyNumberFormat="1" applyFont="1" applyBorder="1" applyAlignment="1" applyProtection="1">
      <alignment vertical="center"/>
    </xf>
    <xf numFmtId="178" fontId="5" fillId="35" borderId="40" xfId="1" applyNumberFormat="1" applyFont="1" applyFill="1" applyBorder="1" applyAlignment="1" applyProtection="1">
      <alignment vertical="center"/>
    </xf>
    <xf numFmtId="178" fontId="5" fillId="35" borderId="38" xfId="1" applyNumberFormat="1" applyFont="1" applyFill="1" applyBorder="1" applyAlignment="1" applyProtection="1">
      <alignment vertical="center"/>
    </xf>
    <xf numFmtId="179" fontId="5" fillId="35" borderId="41" xfId="1" applyNumberFormat="1" applyFont="1" applyFill="1" applyBorder="1" applyAlignment="1" applyProtection="1">
      <alignment vertical="center"/>
    </xf>
    <xf numFmtId="179" fontId="5" fillId="35" borderId="38" xfId="1" applyNumberFormat="1" applyFont="1" applyFill="1" applyBorder="1" applyAlignment="1" applyProtection="1">
      <alignment vertical="center"/>
    </xf>
    <xf numFmtId="180" fontId="5" fillId="35" borderId="39" xfId="1" applyNumberFormat="1" applyFont="1" applyFill="1" applyBorder="1" applyAlignment="1" applyProtection="1">
      <alignment vertical="center"/>
    </xf>
    <xf numFmtId="179" fontId="5" fillId="35" borderId="40" xfId="1" applyNumberFormat="1" applyFont="1" applyFill="1" applyBorder="1" applyAlignment="1" applyProtection="1">
      <alignment vertical="center"/>
    </xf>
    <xf numFmtId="181" fontId="5" fillId="35" borderId="38" xfId="1" applyNumberFormat="1" applyFont="1" applyFill="1" applyBorder="1" applyAlignment="1" applyProtection="1">
      <alignment vertical="center"/>
    </xf>
    <xf numFmtId="181" fontId="5" fillId="35" borderId="39" xfId="1" applyNumberFormat="1" applyFont="1" applyFill="1" applyBorder="1" applyAlignment="1" applyProtection="1">
      <alignment vertical="center"/>
    </xf>
    <xf numFmtId="181" fontId="5" fillId="35" borderId="40" xfId="1" applyNumberFormat="1" applyFont="1" applyFill="1" applyBorder="1" applyAlignment="1" applyProtection="1">
      <alignment vertical="center"/>
    </xf>
    <xf numFmtId="182" fontId="5" fillId="35" borderId="38" xfId="1" applyNumberFormat="1" applyFont="1" applyFill="1" applyBorder="1" applyAlignment="1" applyProtection="1">
      <alignment vertical="center"/>
    </xf>
    <xf numFmtId="182" fontId="5" fillId="35" borderId="39" xfId="1" applyNumberFormat="1" applyFont="1" applyFill="1" applyBorder="1" applyAlignment="1" applyProtection="1">
      <alignment vertical="center"/>
    </xf>
    <xf numFmtId="11" fontId="5" fillId="35" borderId="40" xfId="1" applyNumberFormat="1" applyFont="1" applyFill="1" applyBorder="1" applyAlignment="1" applyProtection="1">
      <alignment vertical="center"/>
    </xf>
    <xf numFmtId="11" fontId="5" fillId="35" borderId="38" xfId="1" applyNumberFormat="1" applyFont="1" applyFill="1" applyBorder="1" applyAlignment="1" applyProtection="1">
      <alignment vertical="center"/>
    </xf>
    <xf numFmtId="11" fontId="5" fillId="35" borderId="39" xfId="1" applyNumberFormat="1" applyFont="1" applyFill="1" applyBorder="1" applyAlignment="1" applyProtection="1">
      <alignment vertical="center"/>
    </xf>
    <xf numFmtId="178" fontId="5" fillId="35" borderId="39" xfId="1" applyNumberFormat="1" applyFont="1" applyFill="1" applyBorder="1" applyAlignment="1" applyProtection="1">
      <alignment vertical="center"/>
    </xf>
    <xf numFmtId="176" fontId="5" fillId="34" borderId="42" xfId="1" applyNumberFormat="1" applyFont="1" applyFill="1" applyBorder="1" applyAlignment="1" applyProtection="1">
      <alignment horizontal="center" vertical="center"/>
    </xf>
    <xf numFmtId="177" fontId="5" fillId="0" borderId="43" xfId="1" applyNumberFormat="1" applyFont="1" applyFill="1" applyBorder="1" applyAlignment="1" applyProtection="1">
      <alignment vertical="center" shrinkToFit="1"/>
      <protection locked="0"/>
    </xf>
    <xf numFmtId="177" fontId="5" fillId="0" borderId="43" xfId="1" applyNumberFormat="1" applyFont="1" applyBorder="1" applyAlignment="1" applyProtection="1">
      <alignment vertical="center"/>
      <protection locked="0"/>
    </xf>
    <xf numFmtId="177" fontId="5" fillId="0" borderId="44" xfId="1" applyNumberFormat="1" applyFont="1" applyFill="1" applyBorder="1" applyAlignment="1">
      <alignment vertical="center"/>
    </xf>
    <xf numFmtId="177" fontId="5" fillId="34" borderId="45" xfId="1" applyNumberFormat="1" applyFont="1" applyFill="1" applyBorder="1" applyAlignment="1" applyProtection="1">
      <alignment horizontal="center" vertical="center"/>
    </xf>
    <xf numFmtId="177" fontId="5" fillId="34" borderId="43" xfId="1" applyNumberFormat="1" applyFont="1" applyFill="1" applyBorder="1" applyAlignment="1" applyProtection="1">
      <alignment horizontal="center" vertical="center"/>
    </xf>
    <xf numFmtId="177" fontId="5" fillId="0" borderId="44" xfId="1" applyNumberFormat="1" applyFont="1" applyBorder="1" applyAlignment="1" applyProtection="1">
      <alignment vertical="center"/>
      <protection locked="0"/>
    </xf>
    <xf numFmtId="178" fontId="5" fillId="35" borderId="45" xfId="1" applyNumberFormat="1" applyFont="1" applyFill="1" applyBorder="1" applyAlignment="1" applyProtection="1">
      <alignment vertical="center"/>
    </xf>
    <xf numFmtId="178" fontId="5" fillId="35" borderId="43" xfId="1" applyNumberFormat="1" applyFont="1" applyFill="1" applyBorder="1" applyAlignment="1" applyProtection="1">
      <alignment vertical="center"/>
    </xf>
    <xf numFmtId="179" fontId="5" fillId="35" borderId="42" xfId="1" applyNumberFormat="1" applyFont="1" applyFill="1" applyBorder="1" applyAlignment="1" applyProtection="1">
      <alignment vertical="center"/>
    </xf>
    <xf numFmtId="179" fontId="5" fillId="35" borderId="43" xfId="1" applyNumberFormat="1" applyFont="1" applyFill="1" applyBorder="1" applyAlignment="1" applyProtection="1">
      <alignment vertical="center"/>
    </xf>
    <xf numFmtId="180" fontId="5" fillId="35" borderId="44" xfId="1" applyNumberFormat="1" applyFont="1" applyFill="1" applyBorder="1" applyAlignment="1" applyProtection="1">
      <alignment vertical="center"/>
    </xf>
    <xf numFmtId="179" fontId="5" fillId="35" borderId="45" xfId="1" applyNumberFormat="1" applyFont="1" applyFill="1" applyBorder="1" applyAlignment="1" applyProtection="1">
      <alignment vertical="center"/>
    </xf>
    <xf numFmtId="181" fontId="5" fillId="35" borderId="43" xfId="1" applyNumberFormat="1" applyFont="1" applyFill="1" applyBorder="1" applyAlignment="1" applyProtection="1">
      <alignment vertical="center"/>
    </xf>
    <xf numFmtId="181" fontId="5" fillId="35" borderId="44" xfId="1" applyNumberFormat="1" applyFont="1" applyFill="1" applyBorder="1" applyAlignment="1" applyProtection="1">
      <alignment vertical="center"/>
    </xf>
    <xf numFmtId="181" fontId="5" fillId="35" borderId="45" xfId="1" applyNumberFormat="1" applyFont="1" applyFill="1" applyBorder="1" applyAlignment="1" applyProtection="1">
      <alignment vertical="center"/>
    </xf>
    <xf numFmtId="182" fontId="5" fillId="35" borderId="43" xfId="1" applyNumberFormat="1" applyFont="1" applyFill="1" applyBorder="1" applyAlignment="1" applyProtection="1">
      <alignment vertical="center"/>
    </xf>
    <xf numFmtId="182" fontId="5" fillId="35" borderId="44" xfId="1" applyNumberFormat="1" applyFont="1" applyFill="1" applyBorder="1" applyAlignment="1" applyProtection="1">
      <alignment vertical="center"/>
    </xf>
    <xf numFmtId="11" fontId="5" fillId="35" borderId="45" xfId="1" applyNumberFormat="1" applyFont="1" applyFill="1" applyBorder="1" applyAlignment="1" applyProtection="1">
      <alignment vertical="center"/>
    </xf>
    <xf numFmtId="11" fontId="5" fillId="35" borderId="43" xfId="1" applyNumberFormat="1" applyFont="1" applyFill="1" applyBorder="1" applyAlignment="1" applyProtection="1">
      <alignment vertical="center"/>
    </xf>
    <xf numFmtId="11" fontId="5" fillId="35" borderId="44" xfId="1" applyNumberFormat="1" applyFont="1" applyFill="1" applyBorder="1" applyAlignment="1" applyProtection="1">
      <alignment vertical="center"/>
    </xf>
    <xf numFmtId="178" fontId="5" fillId="35" borderId="44" xfId="1" applyNumberFormat="1" applyFont="1" applyFill="1" applyBorder="1" applyAlignment="1" applyProtection="1">
      <alignment vertical="center"/>
    </xf>
    <xf numFmtId="176" fontId="5" fillId="34" borderId="46" xfId="1" applyNumberFormat="1" applyFont="1" applyFill="1" applyBorder="1" applyAlignment="1" applyProtection="1">
      <alignment horizontal="center" vertical="center"/>
    </xf>
    <xf numFmtId="177" fontId="5" fillId="0" borderId="47" xfId="1" applyNumberFormat="1" applyFont="1" applyFill="1" applyBorder="1" applyAlignment="1" applyProtection="1">
      <alignment vertical="center" shrinkToFit="1"/>
      <protection locked="0"/>
    </xf>
    <xf numFmtId="177" fontId="5" fillId="0" borderId="47" xfId="1" applyNumberFormat="1" applyFont="1" applyBorder="1" applyAlignment="1" applyProtection="1">
      <alignment vertical="center"/>
      <protection locked="0"/>
    </xf>
    <xf numFmtId="177" fontId="5" fillId="0" borderId="48" xfId="1" applyNumberFormat="1" applyFont="1" applyFill="1" applyBorder="1" applyAlignment="1">
      <alignment vertical="center"/>
    </xf>
    <xf numFmtId="177" fontId="5" fillId="34" borderId="49" xfId="1" applyNumberFormat="1" applyFont="1" applyFill="1" applyBorder="1" applyAlignment="1" applyProtection="1">
      <alignment horizontal="center" vertical="center"/>
    </xf>
    <xf numFmtId="177" fontId="5" fillId="34" borderId="47" xfId="1" applyNumberFormat="1" applyFont="1" applyFill="1" applyBorder="1" applyAlignment="1" applyProtection="1">
      <alignment horizontal="center" vertical="center"/>
    </xf>
    <xf numFmtId="177" fontId="5" fillId="0" borderId="48" xfId="1" applyNumberFormat="1" applyFont="1" applyBorder="1" applyAlignment="1" applyProtection="1">
      <alignment vertical="center"/>
      <protection locked="0"/>
    </xf>
    <xf numFmtId="181" fontId="5" fillId="35" borderId="49" xfId="1" applyNumberFormat="1" applyFont="1" applyFill="1" applyBorder="1" applyAlignment="1" applyProtection="1">
      <alignment vertical="center"/>
    </xf>
    <xf numFmtId="178" fontId="5" fillId="35" borderId="47" xfId="1" applyNumberFormat="1" applyFont="1" applyFill="1" applyBorder="1" applyAlignment="1" applyProtection="1">
      <alignment vertical="center"/>
    </xf>
    <xf numFmtId="179" fontId="5" fillId="35" borderId="46" xfId="1" applyNumberFormat="1" applyFont="1" applyFill="1" applyBorder="1" applyAlignment="1" applyProtection="1">
      <alignment vertical="center"/>
    </xf>
    <xf numFmtId="179" fontId="5" fillId="35" borderId="47" xfId="1" applyNumberFormat="1" applyFont="1" applyFill="1" applyBorder="1" applyAlignment="1" applyProtection="1">
      <alignment vertical="center"/>
    </xf>
    <xf numFmtId="180" fontId="5" fillId="35" borderId="48" xfId="1" applyNumberFormat="1" applyFont="1" applyFill="1" applyBorder="1" applyAlignment="1" applyProtection="1">
      <alignment vertical="center"/>
    </xf>
    <xf numFmtId="181" fontId="5" fillId="35" borderId="47" xfId="1" applyNumberFormat="1" applyFont="1" applyFill="1" applyBorder="1" applyAlignment="1" applyProtection="1">
      <alignment vertical="center"/>
    </xf>
    <xf numFmtId="181" fontId="5" fillId="35" borderId="48" xfId="1" applyNumberFormat="1" applyFont="1" applyFill="1" applyBorder="1" applyAlignment="1" applyProtection="1">
      <alignment vertical="center"/>
    </xf>
    <xf numFmtId="178" fontId="5" fillId="35" borderId="49" xfId="1" applyNumberFormat="1" applyFont="1" applyFill="1" applyBorder="1" applyAlignment="1" applyProtection="1">
      <alignment vertical="center"/>
    </xf>
    <xf numFmtId="182" fontId="5" fillId="35" borderId="47" xfId="1" applyNumberFormat="1" applyFont="1" applyFill="1" applyBorder="1" applyAlignment="1" applyProtection="1">
      <alignment vertical="center"/>
    </xf>
    <xf numFmtId="182" fontId="5" fillId="35" borderId="48" xfId="1" applyNumberFormat="1" applyFont="1" applyFill="1" applyBorder="1" applyAlignment="1" applyProtection="1">
      <alignment vertical="center"/>
    </xf>
    <xf numFmtId="11" fontId="5" fillId="35" borderId="49" xfId="1" applyNumberFormat="1" applyFont="1" applyFill="1" applyBorder="1" applyAlignment="1" applyProtection="1">
      <alignment vertical="center"/>
    </xf>
    <xf numFmtId="11" fontId="5" fillId="35" borderId="47" xfId="1" applyNumberFormat="1" applyFont="1" applyFill="1" applyBorder="1" applyAlignment="1" applyProtection="1">
      <alignment vertical="center"/>
    </xf>
    <xf numFmtId="11" fontId="5" fillId="35" borderId="48" xfId="1" applyNumberFormat="1" applyFont="1" applyFill="1" applyBorder="1" applyAlignment="1" applyProtection="1">
      <alignment vertical="center"/>
    </xf>
    <xf numFmtId="178" fontId="5" fillId="35" borderId="48" xfId="1" applyNumberFormat="1" applyFont="1" applyFill="1" applyBorder="1" applyAlignment="1" applyProtection="1">
      <alignment vertical="center"/>
    </xf>
    <xf numFmtId="177" fontId="5" fillId="0" borderId="39" xfId="1" applyNumberFormat="1" applyFont="1" applyBorder="1" applyAlignment="1"/>
    <xf numFmtId="177" fontId="5" fillId="0" borderId="50" xfId="1" applyNumberFormat="1" applyFont="1" applyBorder="1" applyAlignment="1" applyProtection="1">
      <alignment vertical="center"/>
      <protection locked="0"/>
    </xf>
    <xf numFmtId="177" fontId="5" fillId="0" borderId="51" xfId="1" applyNumberFormat="1" applyFont="1" applyBorder="1" applyAlignment="1" applyProtection="1">
      <alignment vertical="center"/>
      <protection locked="0"/>
    </xf>
    <xf numFmtId="178" fontId="5" fillId="35" borderId="52" xfId="1" applyNumberFormat="1" applyFont="1" applyFill="1" applyBorder="1" applyAlignment="1" applyProtection="1">
      <alignment vertical="center"/>
    </xf>
    <xf numFmtId="178" fontId="5" fillId="35" borderId="50" xfId="1" applyNumberFormat="1" applyFont="1" applyFill="1" applyBorder="1" applyAlignment="1" applyProtection="1">
      <alignment vertical="center"/>
    </xf>
    <xf numFmtId="179" fontId="5" fillId="35" borderId="50" xfId="1" applyNumberFormat="1" applyFont="1" applyFill="1" applyBorder="1" applyAlignment="1" applyProtection="1">
      <alignment vertical="center"/>
    </xf>
    <xf numFmtId="180" fontId="5" fillId="35" borderId="51" xfId="1" applyNumberFormat="1" applyFont="1" applyFill="1" applyBorder="1" applyAlignment="1" applyProtection="1">
      <alignment vertical="center"/>
    </xf>
    <xf numFmtId="179" fontId="5" fillId="35" borderId="52" xfId="1" applyNumberFormat="1" applyFont="1" applyFill="1" applyBorder="1" applyAlignment="1" applyProtection="1">
      <alignment vertical="center"/>
    </xf>
    <xf numFmtId="181" fontId="5" fillId="35" borderId="50" xfId="1" applyNumberFormat="1" applyFont="1" applyFill="1" applyBorder="1" applyAlignment="1" applyProtection="1">
      <alignment vertical="center"/>
    </xf>
    <xf numFmtId="181" fontId="5" fillId="35" borderId="51" xfId="1" applyNumberFormat="1" applyFont="1" applyFill="1" applyBorder="1" applyAlignment="1" applyProtection="1">
      <alignment vertical="center"/>
    </xf>
    <xf numFmtId="181" fontId="5" fillId="35" borderId="52" xfId="1" applyNumberFormat="1" applyFont="1" applyFill="1" applyBorder="1" applyAlignment="1" applyProtection="1">
      <alignment vertical="center"/>
    </xf>
    <xf numFmtId="178" fontId="5" fillId="35" borderId="51" xfId="1" applyNumberFormat="1" applyFont="1" applyFill="1" applyBorder="1" applyAlignment="1" applyProtection="1">
      <alignment vertical="center"/>
    </xf>
    <xf numFmtId="0" fontId="5" fillId="34" borderId="21" xfId="1" applyFont="1" applyFill="1" applyBorder="1" applyAlignment="1" applyProtection="1">
      <alignment vertical="center"/>
    </xf>
    <xf numFmtId="177" fontId="5" fillId="0" borderId="50" xfId="1" applyNumberFormat="1" applyFont="1" applyFill="1" applyBorder="1" applyAlignment="1" applyProtection="1">
      <alignment vertical="center" shrinkToFit="1"/>
      <protection locked="0"/>
    </xf>
    <xf numFmtId="177" fontId="5" fillId="0" borderId="44" xfId="1" applyNumberFormat="1" applyFont="1" applyBorder="1" applyAlignment="1"/>
    <xf numFmtId="0" fontId="5" fillId="34" borderId="53" xfId="1" applyFont="1" applyFill="1" applyBorder="1" applyAlignment="1" applyProtection="1">
      <alignment vertical="center"/>
    </xf>
    <xf numFmtId="176" fontId="5" fillId="34" borderId="54" xfId="1" applyNumberFormat="1" applyFont="1" applyFill="1" applyBorder="1" applyAlignment="1" applyProtection="1">
      <alignment horizontal="center" vertical="center"/>
    </xf>
    <xf numFmtId="177" fontId="5" fillId="0" borderId="55" xfId="1" applyNumberFormat="1" applyFont="1" applyFill="1" applyBorder="1" applyAlignment="1" applyProtection="1">
      <alignment vertical="center" shrinkToFit="1"/>
      <protection locked="0"/>
    </xf>
    <xf numFmtId="177" fontId="5" fillId="0" borderId="54" xfId="1" applyNumberFormat="1" applyFont="1" applyBorder="1" applyAlignment="1" applyProtection="1">
      <alignment vertical="center"/>
      <protection locked="0"/>
    </xf>
    <xf numFmtId="177" fontId="5" fillId="0" borderId="56" xfId="1" applyNumberFormat="1" applyFont="1" applyBorder="1" applyAlignment="1"/>
    <xf numFmtId="177" fontId="5" fillId="34" borderId="57" xfId="1" applyNumberFormat="1" applyFont="1" applyFill="1" applyBorder="1" applyAlignment="1" applyProtection="1">
      <alignment horizontal="center" vertical="center"/>
    </xf>
    <xf numFmtId="177" fontId="5" fillId="34" borderId="54" xfId="1" applyNumberFormat="1" applyFont="1" applyFill="1" applyBorder="1" applyAlignment="1" applyProtection="1">
      <alignment horizontal="center" vertical="center"/>
    </xf>
    <xf numFmtId="177" fontId="5" fillId="0" borderId="56" xfId="1" applyNumberFormat="1" applyFont="1" applyBorder="1" applyAlignment="1" applyProtection="1">
      <alignment vertical="center"/>
      <protection locked="0"/>
    </xf>
    <xf numFmtId="181" fontId="5" fillId="35" borderId="57" xfId="1" applyNumberFormat="1" applyFont="1" applyFill="1" applyBorder="1" applyAlignment="1" applyProtection="1">
      <alignment vertical="center"/>
    </xf>
    <xf numFmtId="178" fontId="5" fillId="35" borderId="54" xfId="1" applyNumberFormat="1" applyFont="1" applyFill="1" applyBorder="1" applyAlignment="1" applyProtection="1">
      <alignment vertical="center"/>
    </xf>
    <xf numFmtId="179" fontId="5" fillId="35" borderId="58" xfId="1" applyNumberFormat="1" applyFont="1" applyFill="1" applyBorder="1" applyAlignment="1" applyProtection="1">
      <alignment vertical="center"/>
    </xf>
    <xf numFmtId="179" fontId="5" fillId="35" borderId="54" xfId="1" applyNumberFormat="1" applyFont="1" applyFill="1" applyBorder="1" applyAlignment="1" applyProtection="1">
      <alignment vertical="center"/>
    </xf>
    <xf numFmtId="180" fontId="5" fillId="35" borderId="56" xfId="1" applyNumberFormat="1" applyFont="1" applyFill="1" applyBorder="1" applyAlignment="1" applyProtection="1">
      <alignment vertical="center"/>
    </xf>
    <xf numFmtId="181" fontId="5" fillId="35" borderId="54" xfId="1" applyNumberFormat="1" applyFont="1" applyFill="1" applyBorder="1" applyAlignment="1" applyProtection="1">
      <alignment vertical="center"/>
    </xf>
    <xf numFmtId="181" fontId="5" fillId="35" borderId="56" xfId="1" applyNumberFormat="1" applyFont="1" applyFill="1" applyBorder="1" applyAlignment="1" applyProtection="1">
      <alignment vertical="center"/>
    </xf>
    <xf numFmtId="178" fontId="5" fillId="35" borderId="57" xfId="1" applyNumberFormat="1" applyFont="1" applyFill="1" applyBorder="1" applyAlignment="1" applyProtection="1">
      <alignment vertical="center"/>
    </xf>
    <xf numFmtId="182" fontId="5" fillId="35" borderId="54" xfId="1" applyNumberFormat="1" applyFont="1" applyFill="1" applyBorder="1" applyAlignment="1" applyProtection="1">
      <alignment vertical="center"/>
    </xf>
    <xf numFmtId="182" fontId="5" fillId="35" borderId="56" xfId="1" applyNumberFormat="1" applyFont="1" applyFill="1" applyBorder="1" applyAlignment="1" applyProtection="1">
      <alignment vertical="center"/>
    </xf>
    <xf numFmtId="11" fontId="5" fillId="35" borderId="57" xfId="1" applyNumberFormat="1" applyFont="1" applyFill="1" applyBorder="1" applyAlignment="1" applyProtection="1">
      <alignment vertical="center"/>
    </xf>
    <xf numFmtId="11" fontId="5" fillId="35" borderId="54" xfId="1" applyNumberFormat="1" applyFont="1" applyFill="1" applyBorder="1" applyAlignment="1" applyProtection="1">
      <alignment vertical="center"/>
    </xf>
    <xf numFmtId="11" fontId="5" fillId="35" borderId="56" xfId="1" applyNumberFormat="1" applyFont="1" applyFill="1" applyBorder="1" applyAlignment="1" applyProtection="1">
      <alignment vertical="center"/>
    </xf>
    <xf numFmtId="178" fontId="5" fillId="35" borderId="56" xfId="1" applyNumberFormat="1" applyFont="1" applyFill="1" applyBorder="1" applyAlignment="1" applyProtection="1">
      <alignment vertical="center"/>
    </xf>
    <xf numFmtId="0" fontId="5" fillId="0" borderId="0" xfId="1" applyFont="1" applyBorder="1" applyAlignment="1" applyProtection="1">
      <alignment vertical="center"/>
    </xf>
    <xf numFmtId="0" fontId="5" fillId="34" borderId="63" xfId="1" applyFont="1" applyFill="1" applyBorder="1" applyAlignment="1" applyProtection="1">
      <alignment horizontal="center" vertical="center"/>
    </xf>
    <xf numFmtId="0" fontId="5" fillId="34" borderId="64" xfId="1" applyFont="1" applyFill="1" applyBorder="1" applyAlignment="1" applyProtection="1">
      <alignment horizontal="center" vertical="center"/>
    </xf>
    <xf numFmtId="178" fontId="5" fillId="36" borderId="38" xfId="1" applyNumberFormat="1" applyFont="1" applyFill="1" applyBorder="1" applyAlignment="1" applyProtection="1">
      <alignment vertical="center"/>
    </xf>
    <xf numFmtId="178" fontId="5" fillId="36" borderId="65" xfId="1" applyNumberFormat="1" applyFont="1" applyFill="1" applyBorder="1" applyAlignment="1" applyProtection="1">
      <alignment vertical="center"/>
    </xf>
    <xf numFmtId="178" fontId="5" fillId="36" borderId="40" xfId="1" applyNumberFormat="1" applyFont="1" applyFill="1" applyBorder="1" applyAlignment="1" applyProtection="1">
      <alignment vertical="center"/>
    </xf>
    <xf numFmtId="182" fontId="5" fillId="36" borderId="65" xfId="1" applyNumberFormat="1" applyFont="1" applyFill="1" applyBorder="1" applyAlignment="1" applyProtection="1">
      <alignment vertical="center"/>
    </xf>
    <xf numFmtId="182" fontId="5" fillId="36" borderId="39" xfId="1" applyNumberFormat="1" applyFont="1" applyFill="1" applyBorder="1" applyAlignment="1" applyProtection="1">
      <alignment vertical="center"/>
    </xf>
    <xf numFmtId="178" fontId="5" fillId="36" borderId="43" xfId="1" applyNumberFormat="1" applyFont="1" applyFill="1" applyBorder="1" applyAlignment="1" applyProtection="1">
      <alignment vertical="center"/>
    </xf>
    <xf numFmtId="178" fontId="5" fillId="36" borderId="66" xfId="1" applyNumberFormat="1" applyFont="1" applyFill="1" applyBorder="1" applyAlignment="1" applyProtection="1">
      <alignment vertical="center"/>
    </xf>
    <xf numFmtId="178" fontId="5" fillId="36" borderId="45" xfId="1" applyNumberFormat="1" applyFont="1" applyFill="1" applyBorder="1" applyAlignment="1" applyProtection="1">
      <alignment vertical="center"/>
    </xf>
    <xf numFmtId="182" fontId="5" fillId="36" borderId="66" xfId="1" applyNumberFormat="1" applyFont="1" applyFill="1" applyBorder="1" applyAlignment="1" applyProtection="1">
      <alignment vertical="center"/>
    </xf>
    <xf numFmtId="182" fontId="5" fillId="36" borderId="44" xfId="1" applyNumberFormat="1" applyFont="1" applyFill="1" applyBorder="1" applyAlignment="1" applyProtection="1">
      <alignment vertical="center"/>
    </xf>
    <xf numFmtId="178" fontId="5" fillId="36" borderId="47" xfId="1" applyNumberFormat="1" applyFont="1" applyFill="1" applyBorder="1" applyAlignment="1" applyProtection="1">
      <alignment vertical="center"/>
    </xf>
    <xf numFmtId="178" fontId="5" fillId="36" borderId="67" xfId="1" applyNumberFormat="1" applyFont="1" applyFill="1" applyBorder="1" applyAlignment="1" applyProtection="1">
      <alignment vertical="center"/>
    </xf>
    <xf numFmtId="178" fontId="5" fillId="36" borderId="49" xfId="1" applyNumberFormat="1" applyFont="1" applyFill="1" applyBorder="1" applyAlignment="1" applyProtection="1">
      <alignment vertical="center"/>
    </xf>
    <xf numFmtId="182" fontId="5" fillId="36" borderId="67" xfId="1" applyNumberFormat="1" applyFont="1" applyFill="1" applyBorder="1" applyAlignment="1" applyProtection="1">
      <alignment vertical="center"/>
    </xf>
    <xf numFmtId="182" fontId="5" fillId="36" borderId="48" xfId="1" applyNumberFormat="1" applyFont="1" applyFill="1" applyBorder="1" applyAlignment="1" applyProtection="1">
      <alignment vertical="center"/>
    </xf>
    <xf numFmtId="176" fontId="5" fillId="34" borderId="41" xfId="1" applyNumberFormat="1" applyFont="1" applyFill="1" applyBorder="1" applyAlignment="1" applyProtection="1">
      <alignment horizontal="center" vertical="center"/>
    </xf>
    <xf numFmtId="178" fontId="5" fillId="36" borderId="50" xfId="1" applyNumberFormat="1" applyFont="1" applyFill="1" applyBorder="1" applyAlignment="1" applyProtection="1">
      <alignment vertical="center"/>
    </xf>
    <xf numFmtId="178" fontId="5" fillId="36" borderId="68" xfId="1" applyNumberFormat="1" applyFont="1" applyFill="1" applyBorder="1" applyAlignment="1" applyProtection="1">
      <alignment vertical="center"/>
    </xf>
    <xf numFmtId="178" fontId="5" fillId="36" borderId="52" xfId="1" applyNumberFormat="1" applyFont="1" applyFill="1" applyBorder="1" applyAlignment="1" applyProtection="1">
      <alignment vertical="center"/>
    </xf>
    <xf numFmtId="182" fontId="5" fillId="36" borderId="68" xfId="1" applyNumberFormat="1" applyFont="1" applyFill="1" applyBorder="1" applyAlignment="1" applyProtection="1">
      <alignment vertical="center"/>
    </xf>
    <xf numFmtId="182" fontId="5" fillId="36" borderId="51" xfId="1" applyNumberFormat="1" applyFont="1" applyFill="1" applyBorder="1" applyAlignment="1" applyProtection="1">
      <alignment vertical="center"/>
    </xf>
    <xf numFmtId="176" fontId="5" fillId="34" borderId="58" xfId="1" applyNumberFormat="1" applyFont="1" applyFill="1" applyBorder="1" applyAlignment="1" applyProtection="1">
      <alignment horizontal="center" vertical="center"/>
    </xf>
    <xf numFmtId="178" fontId="5" fillId="36" borderId="54" xfId="1" applyNumberFormat="1" applyFont="1" applyFill="1" applyBorder="1" applyAlignment="1" applyProtection="1">
      <alignment vertical="center"/>
    </xf>
    <xf numFmtId="178" fontId="5" fillId="36" borderId="69" xfId="1" applyNumberFormat="1" applyFont="1" applyFill="1" applyBorder="1" applyAlignment="1" applyProtection="1">
      <alignment vertical="center"/>
    </xf>
    <xf numFmtId="178" fontId="5" fillId="36" borderId="57" xfId="1" applyNumberFormat="1" applyFont="1" applyFill="1" applyBorder="1" applyAlignment="1" applyProtection="1">
      <alignment vertical="center"/>
    </xf>
    <xf numFmtId="182" fontId="5" fillId="36" borderId="69" xfId="1" applyNumberFormat="1" applyFont="1" applyFill="1" applyBorder="1" applyAlignment="1" applyProtection="1">
      <alignment vertical="center"/>
    </xf>
    <xf numFmtId="182" fontId="5" fillId="36" borderId="56" xfId="1" applyNumberFormat="1" applyFont="1" applyFill="1" applyBorder="1" applyAlignment="1" applyProtection="1">
      <alignment vertical="center"/>
    </xf>
    <xf numFmtId="0" fontId="5" fillId="34" borderId="13" xfId="1" applyFont="1" applyFill="1" applyBorder="1" applyAlignment="1" applyProtection="1">
      <alignment horizontal="center" vertical="center"/>
    </xf>
    <xf numFmtId="0" fontId="1" fillId="0" borderId="33" xfId="1" applyBorder="1" applyAlignment="1" applyProtection="1">
      <alignment horizontal="center" vertical="center"/>
    </xf>
    <xf numFmtId="0" fontId="5" fillId="34" borderId="60" xfId="1" applyFont="1" applyFill="1" applyBorder="1" applyAlignment="1" applyProtection="1">
      <alignment horizontal="center" vertical="center" wrapText="1"/>
    </xf>
    <xf numFmtId="0" fontId="1" fillId="0" borderId="34" xfId="1" applyBorder="1" applyAlignment="1" applyProtection="1">
      <alignment horizontal="center" vertical="center"/>
    </xf>
    <xf numFmtId="0" fontId="5" fillId="34" borderId="61" xfId="1" applyFont="1" applyFill="1" applyBorder="1" applyAlignment="1" applyProtection="1">
      <alignment horizontal="center" vertical="center"/>
    </xf>
    <xf numFmtId="0" fontId="1" fillId="0" borderId="14" xfId="1" applyBorder="1" applyAlignment="1" applyProtection="1">
      <alignment horizontal="center" vertical="center"/>
    </xf>
    <xf numFmtId="0" fontId="5" fillId="34" borderId="16" xfId="1" applyFont="1" applyFill="1" applyBorder="1" applyAlignment="1" applyProtection="1">
      <alignment horizontal="center" vertical="center"/>
    </xf>
    <xf numFmtId="0" fontId="1" fillId="0" borderId="15" xfId="1" applyBorder="1" applyAlignment="1" applyProtection="1">
      <alignment horizontal="center" vertical="center"/>
    </xf>
    <xf numFmtId="0" fontId="5" fillId="34" borderId="62" xfId="1" applyFont="1" applyFill="1" applyBorder="1" applyAlignment="1" applyProtection="1">
      <alignment horizontal="center" vertical="center"/>
    </xf>
    <xf numFmtId="0" fontId="1" fillId="0" borderId="63" xfId="1" applyBorder="1" applyAlignment="1" applyProtection="1">
      <alignment horizontal="center" vertical="center"/>
    </xf>
    <xf numFmtId="0" fontId="1" fillId="0" borderId="35" xfId="1" applyBorder="1" applyAlignment="1" applyProtection="1">
      <alignment horizontal="center" vertical="center"/>
    </xf>
    <xf numFmtId="0" fontId="5" fillId="34" borderId="34" xfId="1" applyFont="1" applyFill="1" applyBorder="1" applyAlignment="1" applyProtection="1">
      <alignment horizontal="center" vertical="center" wrapText="1"/>
    </xf>
    <xf numFmtId="0" fontId="5" fillId="34" borderId="29" xfId="1" applyFont="1" applyFill="1" applyBorder="1" applyAlignment="1" applyProtection="1">
      <alignment horizontal="center" vertical="center" wrapText="1"/>
    </xf>
    <xf numFmtId="0" fontId="5" fillId="34" borderId="30" xfId="1" applyFont="1" applyFill="1" applyBorder="1" applyAlignment="1" applyProtection="1">
      <alignment horizontal="center" vertical="center" wrapText="1"/>
    </xf>
    <xf numFmtId="0" fontId="5" fillId="34" borderId="31" xfId="1" applyFont="1" applyFill="1" applyBorder="1" applyAlignment="1" applyProtection="1">
      <alignment horizontal="center" vertical="center" wrapText="1"/>
    </xf>
    <xf numFmtId="0" fontId="1" fillId="34" borderId="29" xfId="1" applyFill="1" applyBorder="1" applyAlignment="1" applyProtection="1">
      <alignment horizontal="center" vertical="center" wrapText="1"/>
    </xf>
    <xf numFmtId="0" fontId="1" fillId="34" borderId="30" xfId="1" applyFill="1" applyBorder="1" applyAlignment="1" applyProtection="1">
      <alignment horizontal="center" vertical="center" wrapText="1"/>
    </xf>
    <xf numFmtId="0" fontId="5" fillId="0" borderId="59" xfId="1" applyFont="1" applyBorder="1" applyAlignment="1" applyProtection="1">
      <alignment horizontal="right" vertical="center"/>
    </xf>
    <xf numFmtId="0" fontId="1" fillId="0" borderId="59" xfId="1" applyBorder="1" applyAlignment="1" applyProtection="1">
      <alignment horizontal="right" vertical="center"/>
    </xf>
    <xf numFmtId="0" fontId="5" fillId="34" borderId="17" xfId="1" applyFont="1" applyFill="1" applyBorder="1" applyAlignment="1" applyProtection="1">
      <alignment horizontal="center" vertical="center" wrapText="1"/>
    </xf>
    <xf numFmtId="0" fontId="5" fillId="34" borderId="18" xfId="1" applyFont="1" applyFill="1" applyBorder="1" applyAlignment="1" applyProtection="1">
      <alignment horizontal="center" vertical="center" wrapText="1"/>
    </xf>
    <xf numFmtId="0" fontId="5" fillId="34" borderId="20" xfId="1" applyFont="1" applyFill="1" applyBorder="1" applyAlignment="1" applyProtection="1">
      <alignment horizontal="center" vertical="center" wrapText="1"/>
    </xf>
    <xf numFmtId="0" fontId="5" fillId="34" borderId="16" xfId="1" applyFont="1" applyFill="1" applyBorder="1" applyAlignment="1" applyProtection="1">
      <alignment horizontal="center" vertical="center" wrapText="1"/>
    </xf>
    <xf numFmtId="0" fontId="1" fillId="34" borderId="14" xfId="1" applyFill="1" applyBorder="1" applyAlignment="1" applyProtection="1">
      <alignment horizontal="center" vertical="center" wrapText="1"/>
    </xf>
    <xf numFmtId="0" fontId="1" fillId="34" borderId="15" xfId="1" applyFill="1" applyBorder="1" applyAlignment="1" applyProtection="1">
      <alignment horizontal="center" vertical="center" wrapText="1"/>
    </xf>
    <xf numFmtId="0" fontId="5" fillId="34" borderId="14" xfId="1" applyFont="1" applyFill="1" applyBorder="1" applyAlignment="1" applyProtection="1">
      <alignment horizontal="center" vertical="center" wrapText="1"/>
    </xf>
    <xf numFmtId="0" fontId="5" fillId="34" borderId="10" xfId="1" applyFont="1" applyFill="1" applyBorder="1" applyAlignment="1" applyProtection="1">
      <alignment horizontal="center" vertical="center" wrapText="1"/>
    </xf>
    <xf numFmtId="0" fontId="5" fillId="34" borderId="12" xfId="1" applyFont="1" applyFill="1" applyBorder="1" applyAlignment="1" applyProtection="1">
      <alignment horizontal="center" vertical="center" wrapText="1"/>
    </xf>
    <xf numFmtId="0" fontId="1" fillId="34" borderId="32" xfId="1" applyFill="1" applyBorder="1" applyAlignment="1" applyProtection="1">
      <alignment horizontal="center" vertical="center" wrapText="1"/>
    </xf>
    <xf numFmtId="0" fontId="1" fillId="34" borderId="34" xfId="1" applyFill="1" applyBorder="1" applyAlignment="1" applyProtection="1">
      <alignment horizontal="center" vertical="center" wrapText="1"/>
    </xf>
    <xf numFmtId="0" fontId="2" fillId="33" borderId="10" xfId="1" applyFont="1" applyFill="1" applyBorder="1" applyAlignment="1" applyProtection="1">
      <alignment horizontal="center" vertical="center"/>
    </xf>
    <xf numFmtId="0" fontId="2" fillId="33" borderId="11" xfId="1" applyFont="1" applyFill="1" applyBorder="1" applyAlignment="1" applyProtection="1">
      <alignment horizontal="center" vertical="center"/>
    </xf>
    <xf numFmtId="0" fontId="2" fillId="33" borderId="12" xfId="1" applyFont="1" applyFill="1" applyBorder="1" applyAlignment="1" applyProtection="1">
      <alignment horizontal="center" vertical="center"/>
    </xf>
    <xf numFmtId="0" fontId="1" fillId="34" borderId="14" xfId="1" applyFill="1" applyBorder="1" applyAlignment="1" applyProtection="1">
      <alignment horizontal="center" vertical="center"/>
    </xf>
    <xf numFmtId="0" fontId="1" fillId="34" borderId="15" xfId="1" applyFill="1" applyBorder="1" applyAlignment="1" applyProtection="1">
      <alignment horizontal="center" vertical="center"/>
    </xf>
    <xf numFmtId="0" fontId="5" fillId="34" borderId="15" xfId="1" applyFont="1" applyFill="1" applyBorder="1" applyAlignment="1" applyProtection="1">
      <alignment horizontal="center" vertical="center" wrapText="1"/>
    </xf>
    <xf numFmtId="0" fontId="5" fillId="34" borderId="19" xfId="1" applyFont="1" applyFill="1" applyBorder="1" applyAlignment="1" applyProtection="1">
      <alignment horizontal="center" vertical="center" wrapText="1"/>
    </xf>
    <xf numFmtId="0" fontId="1" fillId="34" borderId="18" xfId="1" applyFill="1" applyBorder="1" applyAlignment="1" applyProtection="1">
      <alignment horizontal="center" vertical="center" wrapText="1"/>
    </xf>
    <xf numFmtId="0" fontId="1" fillId="34" borderId="20" xfId="1" applyFill="1" applyBorder="1" applyAlignment="1" applyProtection="1">
      <alignment horizontal="center" vertical="center" wrapText="1"/>
    </xf>
  </cellXfs>
  <cellStyles count="63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桁区切り 2" xfId="34"/>
    <cellStyle name="桁区切り 2 2" xfId="35"/>
    <cellStyle name="桁区切り 3" xfId="36"/>
    <cellStyle name="桁区切り 4" xfId="37"/>
    <cellStyle name="桁区切り 5" xfId="38"/>
    <cellStyle name="見出し 1 2" xfId="39"/>
    <cellStyle name="見出し 2 2" xfId="40"/>
    <cellStyle name="見出し 3 2" xfId="41"/>
    <cellStyle name="見出し 4 2" xfId="42"/>
    <cellStyle name="集計 2" xfId="43"/>
    <cellStyle name="出力 2" xfId="44"/>
    <cellStyle name="説明文 2" xfId="45"/>
    <cellStyle name="通貨 2" xfId="46"/>
    <cellStyle name="入力 2" xfId="47"/>
    <cellStyle name="標準" xfId="0" builtinId="0"/>
    <cellStyle name="標準 10" xfId="1"/>
    <cellStyle name="標準 10 2" xfId="48"/>
    <cellStyle name="標準 11" xfId="49"/>
    <cellStyle name="標準 12" xfId="50"/>
    <cellStyle name="標準 13" xfId="51"/>
    <cellStyle name="標準 14" xfId="52"/>
    <cellStyle name="標準 2" xfId="53"/>
    <cellStyle name="標準 2 2" xfId="54"/>
    <cellStyle name="標準 3" xfId="55"/>
    <cellStyle name="標準 4" xfId="56"/>
    <cellStyle name="標準 5" xfId="57"/>
    <cellStyle name="標準 6" xfId="58"/>
    <cellStyle name="標準 7" xfId="59"/>
    <cellStyle name="標準 8" xfId="60"/>
    <cellStyle name="標準 9" xfId="61"/>
    <cellStyle name="良い 2" xfId="6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4"/>
  <sheetViews>
    <sheetView tabSelected="1" workbookViewId="0">
      <selection activeCell="B2" sqref="B2"/>
    </sheetView>
  </sheetViews>
  <sheetFormatPr defaultRowHeight="13.5" x14ac:dyDescent="0.25"/>
  <cols>
    <col min="1" max="1" width="4.109375" style="1" customWidth="1"/>
    <col min="2" max="2" width="8.44140625" style="1" bestFit="1" customWidth="1"/>
    <col min="3" max="7" width="8.5546875" style="1" customWidth="1"/>
    <col min="8" max="8" width="9.77734375" style="1" customWidth="1"/>
    <col min="9" max="9" width="8.44140625" style="1" bestFit="1" customWidth="1"/>
    <col min="10" max="11" width="8.5546875" style="1" customWidth="1"/>
    <col min="12" max="12" width="10.33203125" style="1" bestFit="1" customWidth="1"/>
    <col min="13" max="14" width="8.5546875" style="1" customWidth="1"/>
    <col min="15" max="16" width="7.6640625" style="1" customWidth="1"/>
    <col min="17" max="22" width="8.5546875" style="1" customWidth="1"/>
    <col min="23" max="23" width="9.44140625" style="1" customWidth="1"/>
    <col min="24" max="24" width="8.5546875" style="1" customWidth="1"/>
    <col min="25" max="25" width="9.44140625" style="1" customWidth="1"/>
    <col min="26" max="26" width="8.5546875" style="1" customWidth="1"/>
    <col min="27" max="32" width="9.44140625" style="1" customWidth="1"/>
    <col min="33" max="33" width="5.88671875" style="1" customWidth="1"/>
    <col min="34" max="41" width="9.44140625" style="1" customWidth="1"/>
    <col min="42" max="47" width="8.5546875" style="1" customWidth="1"/>
    <col min="48" max="16384" width="8.88671875" style="1"/>
  </cols>
  <sheetData>
    <row r="1" spans="1:47" ht="30" customHeight="1" x14ac:dyDescent="0.25">
      <c r="A1" s="213" t="s">
        <v>0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5"/>
    </row>
    <row r="2" spans="1:47" s="4" customFormat="1" ht="15" customHeight="1" x14ac:dyDescent="0.25">
      <c r="A2" s="2" t="s">
        <v>1</v>
      </c>
      <c r="B2" s="3" t="s">
        <v>2</v>
      </c>
      <c r="C2" s="4" t="s">
        <v>3</v>
      </c>
      <c r="L2" s="2" t="s">
        <v>94</v>
      </c>
    </row>
    <row r="3" spans="1:47" ht="15" customHeight="1" thickBot="1" x14ac:dyDescent="0.3">
      <c r="A3" s="1" t="s">
        <v>4</v>
      </c>
      <c r="G3" s="1" t="s">
        <v>5</v>
      </c>
      <c r="O3" s="1" t="s">
        <v>6</v>
      </c>
      <c r="T3" s="1" t="s">
        <v>7</v>
      </c>
      <c r="X3" s="1" t="s">
        <v>8</v>
      </c>
      <c r="AB3" s="1" t="s">
        <v>9</v>
      </c>
      <c r="AH3" s="1" t="s">
        <v>10</v>
      </c>
    </row>
    <row r="4" spans="1:47" ht="14.45" customHeight="1" thickTop="1" x14ac:dyDescent="0.25">
      <c r="A4" s="5"/>
      <c r="B4" s="208" t="s">
        <v>11</v>
      </c>
      <c r="C4" s="216"/>
      <c r="D4" s="216"/>
      <c r="E4" s="216"/>
      <c r="F4" s="217"/>
      <c r="G4" s="205" t="s">
        <v>12</v>
      </c>
      <c r="H4" s="208"/>
      <c r="I4" s="208"/>
      <c r="J4" s="208"/>
      <c r="K4" s="208"/>
      <c r="L4" s="218"/>
      <c r="M4" s="6"/>
      <c r="N4" s="6"/>
      <c r="O4" s="202" t="s">
        <v>13</v>
      </c>
      <c r="P4" s="203"/>
      <c r="Q4" s="219" t="s">
        <v>14</v>
      </c>
      <c r="R4" s="203"/>
      <c r="S4" s="204"/>
      <c r="T4" s="202" t="s">
        <v>15</v>
      </c>
      <c r="U4" s="220"/>
      <c r="V4" s="220"/>
      <c r="W4" s="221"/>
      <c r="X4" s="202" t="s">
        <v>16</v>
      </c>
      <c r="Y4" s="203"/>
      <c r="Z4" s="203"/>
      <c r="AA4" s="204"/>
      <c r="AB4" s="205" t="s">
        <v>17</v>
      </c>
      <c r="AC4" s="206"/>
      <c r="AD4" s="206"/>
      <c r="AE4" s="206"/>
      <c r="AF4" s="207"/>
      <c r="AH4" s="205" t="s">
        <v>18</v>
      </c>
      <c r="AI4" s="208"/>
      <c r="AJ4" s="208"/>
      <c r="AK4" s="208"/>
      <c r="AL4" s="208"/>
      <c r="AM4" s="208"/>
      <c r="AN4" s="206"/>
      <c r="AO4" s="207"/>
      <c r="AP4" s="205" t="s">
        <v>19</v>
      </c>
      <c r="AQ4" s="208"/>
      <c r="AR4" s="206"/>
      <c r="AS4" s="206"/>
      <c r="AT4" s="206"/>
      <c r="AU4" s="207"/>
    </row>
    <row r="5" spans="1:47" ht="39.950000000000003" customHeight="1" x14ac:dyDescent="0.25">
      <c r="A5" s="7" t="s">
        <v>20</v>
      </c>
      <c r="B5" s="8" t="s">
        <v>21</v>
      </c>
      <c r="C5" s="9" t="s">
        <v>22</v>
      </c>
      <c r="D5" s="9" t="s">
        <v>23</v>
      </c>
      <c r="E5" s="10" t="s">
        <v>24</v>
      </c>
      <c r="F5" s="11" t="s">
        <v>25</v>
      </c>
      <c r="G5" s="12" t="s">
        <v>21</v>
      </c>
      <c r="H5" s="13" t="s">
        <v>22</v>
      </c>
      <c r="I5" s="13" t="s">
        <v>23</v>
      </c>
      <c r="J5" s="13" t="s">
        <v>26</v>
      </c>
      <c r="K5" s="13" t="s">
        <v>27</v>
      </c>
      <c r="L5" s="14" t="s">
        <v>28</v>
      </c>
      <c r="M5" s="15"/>
      <c r="N5" s="15"/>
      <c r="O5" s="7" t="s">
        <v>29</v>
      </c>
      <c r="P5" s="16" t="s">
        <v>30</v>
      </c>
      <c r="Q5" s="17" t="s">
        <v>31</v>
      </c>
      <c r="R5" s="16" t="s">
        <v>32</v>
      </c>
      <c r="S5" s="18" t="s">
        <v>33</v>
      </c>
      <c r="T5" s="7" t="s">
        <v>34</v>
      </c>
      <c r="U5" s="16" t="s">
        <v>27</v>
      </c>
      <c r="V5" s="195" t="s">
        <v>28</v>
      </c>
      <c r="W5" s="196"/>
      <c r="X5" s="197" t="s">
        <v>35</v>
      </c>
      <c r="Y5" s="195"/>
      <c r="Z5" s="195" t="s">
        <v>36</v>
      </c>
      <c r="AA5" s="196"/>
      <c r="AB5" s="19" t="s">
        <v>37</v>
      </c>
      <c r="AC5" s="209" t="s">
        <v>38</v>
      </c>
      <c r="AD5" s="210"/>
      <c r="AE5" s="209" t="s">
        <v>39</v>
      </c>
      <c r="AF5" s="211"/>
      <c r="AH5" s="20" t="s">
        <v>34</v>
      </c>
      <c r="AI5" s="21" t="s">
        <v>33</v>
      </c>
      <c r="AJ5" s="194" t="s">
        <v>37</v>
      </c>
      <c r="AK5" s="212"/>
      <c r="AL5" s="194" t="s">
        <v>38</v>
      </c>
      <c r="AM5" s="194"/>
      <c r="AN5" s="195" t="s">
        <v>39</v>
      </c>
      <c r="AO5" s="196"/>
      <c r="AP5" s="197" t="s">
        <v>37</v>
      </c>
      <c r="AQ5" s="198"/>
      <c r="AR5" s="195" t="s">
        <v>38</v>
      </c>
      <c r="AS5" s="198"/>
      <c r="AT5" s="195" t="s">
        <v>39</v>
      </c>
      <c r="AU5" s="199"/>
    </row>
    <row r="6" spans="1:47" ht="14.45" customHeight="1" x14ac:dyDescent="0.25">
      <c r="A6" s="22"/>
      <c r="B6" s="23" t="s">
        <v>40</v>
      </c>
      <c r="C6" s="21" t="s">
        <v>41</v>
      </c>
      <c r="D6" s="21" t="s">
        <v>41</v>
      </c>
      <c r="E6" s="21" t="s">
        <v>41</v>
      </c>
      <c r="F6" s="24" t="s">
        <v>41</v>
      </c>
      <c r="G6" s="25" t="s">
        <v>40</v>
      </c>
      <c r="H6" s="26" t="s">
        <v>41</v>
      </c>
      <c r="I6" s="26" t="s">
        <v>41</v>
      </c>
      <c r="J6" s="27" t="s">
        <v>42</v>
      </c>
      <c r="K6" s="27" t="s">
        <v>43</v>
      </c>
      <c r="L6" s="28" t="s">
        <v>44</v>
      </c>
      <c r="M6" s="15"/>
      <c r="N6" s="15"/>
      <c r="O6" s="29" t="s">
        <v>45</v>
      </c>
      <c r="P6" s="30" t="s">
        <v>46</v>
      </c>
      <c r="Q6" s="31"/>
      <c r="R6" s="30" t="s">
        <v>47</v>
      </c>
      <c r="S6" s="32" t="s">
        <v>48</v>
      </c>
      <c r="T6" s="33" t="s">
        <v>49</v>
      </c>
      <c r="U6" s="27" t="s">
        <v>50</v>
      </c>
      <c r="V6" s="27" t="s">
        <v>51</v>
      </c>
      <c r="W6" s="34" t="s">
        <v>52</v>
      </c>
      <c r="X6" s="33" t="s">
        <v>53</v>
      </c>
      <c r="Y6" s="35" t="s">
        <v>52</v>
      </c>
      <c r="Z6" s="36" t="s">
        <v>54</v>
      </c>
      <c r="AA6" s="34" t="s">
        <v>52</v>
      </c>
      <c r="AB6" s="37" t="s">
        <v>55</v>
      </c>
      <c r="AC6" s="38" t="s">
        <v>56</v>
      </c>
      <c r="AD6" s="38" t="s">
        <v>57</v>
      </c>
      <c r="AE6" s="39" t="s">
        <v>58</v>
      </c>
      <c r="AF6" s="40" t="s">
        <v>59</v>
      </c>
      <c r="AH6" s="41" t="s">
        <v>60</v>
      </c>
      <c r="AI6" s="42" t="s">
        <v>61</v>
      </c>
      <c r="AJ6" s="43"/>
      <c r="AK6" s="44" t="s">
        <v>62</v>
      </c>
      <c r="AL6" s="43"/>
      <c r="AM6" s="44" t="s">
        <v>63</v>
      </c>
      <c r="AN6" s="43"/>
      <c r="AO6" s="45" t="s">
        <v>64</v>
      </c>
      <c r="AP6" s="46" t="s">
        <v>65</v>
      </c>
      <c r="AQ6" s="47" t="s">
        <v>66</v>
      </c>
      <c r="AR6" s="47" t="s">
        <v>65</v>
      </c>
      <c r="AS6" s="47" t="s">
        <v>66</v>
      </c>
      <c r="AT6" s="47" t="s">
        <v>65</v>
      </c>
      <c r="AU6" s="48" t="s">
        <v>66</v>
      </c>
    </row>
    <row r="7" spans="1:47" ht="14.45" customHeight="1" x14ac:dyDescent="0.25">
      <c r="A7" s="49" t="s">
        <v>67</v>
      </c>
      <c r="B7" s="50" t="s">
        <v>68</v>
      </c>
      <c r="C7" s="51">
        <v>25475</v>
      </c>
      <c r="D7" s="52">
        <v>21</v>
      </c>
      <c r="E7" s="52">
        <v>25475</v>
      </c>
      <c r="F7" s="53">
        <v>0</v>
      </c>
      <c r="G7" s="54" t="s">
        <v>68</v>
      </c>
      <c r="H7" s="52">
        <v>2644000</v>
      </c>
      <c r="I7" s="52">
        <v>1542</v>
      </c>
      <c r="J7" s="55">
        <v>0</v>
      </c>
      <c r="K7" s="52">
        <v>100000</v>
      </c>
      <c r="L7" s="56">
        <v>8049842</v>
      </c>
      <c r="M7" s="57"/>
      <c r="N7" s="57"/>
      <c r="O7" s="58">
        <f>IF(K7&lt;0.5,0.5,((L7-L8)-5*K8)/5/(K7-K8))</f>
        <v>0.17567567567567569</v>
      </c>
      <c r="P7" s="59">
        <f>IF(H7&lt;0.5,1,(I7/H7)/((K7-K8)/(L7-L8)))</f>
        <v>0.98274364190211394</v>
      </c>
      <c r="Q7" s="60">
        <f>IF(C7&lt;0.5,0,D7/C7)</f>
        <v>8.2433758586849854E-4</v>
      </c>
      <c r="R7" s="61">
        <f>IF(P7=0,Q7,Q7/P7)</f>
        <v>8.3881243359965345E-4</v>
      </c>
      <c r="S7" s="62">
        <f>IF(E7&lt;0.5,0,F7/E7)</f>
        <v>0</v>
      </c>
      <c r="T7" s="63">
        <f>5*R7/(1+5*(1-O7)*R7)</f>
        <v>4.1796121309706996E-3</v>
      </c>
      <c r="U7" s="64">
        <v>100000</v>
      </c>
      <c r="V7" s="64">
        <f>5*U7*((1-T7)+O7*T7)</f>
        <v>498277.3220270999</v>
      </c>
      <c r="W7" s="65">
        <f>SUM(V7:V$24)</f>
        <v>8012255.3157983571</v>
      </c>
      <c r="X7" s="66">
        <f t="shared" ref="X7:X42" si="0">V7*(1-S7)</f>
        <v>498277.3220270999</v>
      </c>
      <c r="Y7" s="64">
        <f>SUM(X7:X$24)</f>
        <v>7867205.8286524443</v>
      </c>
      <c r="Z7" s="64">
        <f t="shared" ref="Z7:Z42" si="1">V7*S7</f>
        <v>0</v>
      </c>
      <c r="AA7" s="65">
        <f>SUM(Z7:Z$24)</f>
        <v>145049.48714591417</v>
      </c>
      <c r="AB7" s="58">
        <f t="shared" ref="AB7:AB42" si="2">W7/U7</f>
        <v>80.122553157983575</v>
      </c>
      <c r="AC7" s="59">
        <f t="shared" ref="AC7:AC42" si="3">Y7/U7</f>
        <v>78.672058286524447</v>
      </c>
      <c r="AD7" s="67">
        <f>AC7/AB7*100</f>
        <v>98.189654704838119</v>
      </c>
      <c r="AE7" s="59">
        <f t="shared" ref="AE7:AE42" si="4">AA7/U7</f>
        <v>1.4504948714591417</v>
      </c>
      <c r="AF7" s="68">
        <f>AE7/AB7*100</f>
        <v>1.8103452951618921</v>
      </c>
      <c r="AH7" s="69">
        <f>IF(D7=0,0,T7*T7*(1-T7)/D7)</f>
        <v>8.2838777440378219E-7</v>
      </c>
      <c r="AI7" s="70">
        <f>IF(E7&lt;0.5,0,S7*(1-S7)/E7)</f>
        <v>0</v>
      </c>
      <c r="AJ7" s="70">
        <f>U7*U7*((1-O7)*5+AB8)^2*AH7</f>
        <v>52457350.079622887</v>
      </c>
      <c r="AK7" s="70">
        <f>SUM(AJ7:AJ$24)/U7/U7</f>
        <v>3.1625109107910845E-2</v>
      </c>
      <c r="AL7" s="70">
        <f>U7*U7*((1-O7)*5*(1-S7)+AC8)^2*AH7+V7*V7*AI7</f>
        <v>50554554.188057594</v>
      </c>
      <c r="AM7" s="70">
        <f>SUM(AL7:AL$24)/U7/U7</f>
        <v>2.8340383948781085E-2</v>
      </c>
      <c r="AN7" s="70">
        <f>U7*U7*((1-O7)*5*S7+AE8)^2*AH7+V7*V7*AI7</f>
        <v>17575.352692106204</v>
      </c>
      <c r="AO7" s="71">
        <f>SUM(AN7:AN$24)/U7/U7</f>
        <v>3.5786991709192131E-4</v>
      </c>
      <c r="AP7" s="58">
        <f t="shared" ref="AP7:AP42" si="5">AB7-1.96*SQRT(AK7)</f>
        <v>79.773997539539479</v>
      </c>
      <c r="AQ7" s="59">
        <f t="shared" ref="AQ7:AQ42" si="6">AB7+1.96*SQRT(AK7)</f>
        <v>80.47110877642767</v>
      </c>
      <c r="AR7" s="59">
        <f t="shared" ref="AR7:AR42" si="7">AC7-1.96*SQRT(AM7)</f>
        <v>78.342100078598605</v>
      </c>
      <c r="AS7" s="59">
        <f t="shared" ref="AS7:AS42" si="8">AC7+1.96*SQRT(AM7)</f>
        <v>79.002016494450288</v>
      </c>
      <c r="AT7" s="59">
        <f t="shared" ref="AT7:AT42" si="9">AE7-1.96*SQRT(AO7)</f>
        <v>1.4134166693249992</v>
      </c>
      <c r="AU7" s="72">
        <f t="shared" ref="AU7:AU42" si="10">AE7+1.96*SQRT(AO7)</f>
        <v>1.4875730735932842</v>
      </c>
    </row>
    <row r="8" spans="1:47" ht="14.45" customHeight="1" x14ac:dyDescent="0.25">
      <c r="A8" s="49"/>
      <c r="B8" s="73" t="s">
        <v>69</v>
      </c>
      <c r="C8" s="74">
        <v>25502</v>
      </c>
      <c r="D8" s="75">
        <v>2</v>
      </c>
      <c r="E8" s="75">
        <v>25502</v>
      </c>
      <c r="F8" s="76">
        <v>0</v>
      </c>
      <c r="G8" s="77" t="s">
        <v>69</v>
      </c>
      <c r="H8" s="75">
        <v>2692000</v>
      </c>
      <c r="I8" s="75">
        <v>276</v>
      </c>
      <c r="J8" s="78">
        <v>5</v>
      </c>
      <c r="K8" s="75">
        <v>99704</v>
      </c>
      <c r="L8" s="79">
        <v>7551062</v>
      </c>
      <c r="M8" s="57"/>
      <c r="N8" s="57"/>
      <c r="O8" s="80">
        <f t="shared" ref="O8:O22" si="11">IF(K8&lt;0.5,0.5,((L8-L9)-5*K9)/5/(K8-K9))</f>
        <v>0.46399999999999997</v>
      </c>
      <c r="P8" s="81">
        <f t="shared" ref="P8:P23" si="12">IF(H8&lt;0.5,1,(I8/H8)/((K8-K9)/(L8-L9)))</f>
        <v>1.0219504903417533</v>
      </c>
      <c r="Q8" s="82">
        <f t="shared" ref="Q8:Q42" si="13">IF(C8&lt;0.5,0,D8/C8)</f>
        <v>7.8425221551250878E-5</v>
      </c>
      <c r="R8" s="83">
        <f t="shared" ref="R8:R42" si="14">IF(P8=0,Q8,Q8/P8)</f>
        <v>7.6740725008140546E-5</v>
      </c>
      <c r="S8" s="84">
        <f t="shared" ref="S8:S42" si="15">IF(E8&lt;0.5,0,F8/E8)</f>
        <v>0</v>
      </c>
      <c r="T8" s="85">
        <f>5*R8/(1+5*(1-O8)*R8)</f>
        <v>3.836247268063974E-4</v>
      </c>
      <c r="U8" s="86">
        <f>U7*(1-T7)</f>
        <v>99582.038786902922</v>
      </c>
      <c r="V8" s="86">
        <f>5*U8*((1-T8)+O8*T8)</f>
        <v>497807.81221961702</v>
      </c>
      <c r="W8" s="87">
        <f>SUM(V8:V$24)</f>
        <v>7513977.9937712587</v>
      </c>
      <c r="X8" s="88">
        <f t="shared" si="0"/>
        <v>497807.81221961702</v>
      </c>
      <c r="Y8" s="86">
        <f>SUM(X8:X$24)</f>
        <v>7368928.506625344</v>
      </c>
      <c r="Z8" s="86">
        <f t="shared" si="1"/>
        <v>0</v>
      </c>
      <c r="AA8" s="87">
        <f>SUM(Z8:Z$24)</f>
        <v>145049.48714591417</v>
      </c>
      <c r="AB8" s="80">
        <f t="shared" si="2"/>
        <v>75.455153211419301</v>
      </c>
      <c r="AC8" s="81">
        <f t="shared" si="3"/>
        <v>73.998570388724644</v>
      </c>
      <c r="AD8" s="89">
        <f t="shared" ref="AD8:AD42" si="16">AC8/AB8*100</f>
        <v>98.069604578744375</v>
      </c>
      <c r="AE8" s="81">
        <f t="shared" si="4"/>
        <v>1.45658282269464</v>
      </c>
      <c r="AF8" s="90">
        <f t="shared" ref="AF8:AF42" si="17">AE8/AB8*100</f>
        <v>1.9303954212556054</v>
      </c>
      <c r="AH8" s="91">
        <f>IF(D8=0,0,T8*T8*(1-T8)/D8)</f>
        <v>7.3555736879975934E-8</v>
      </c>
      <c r="AI8" s="92">
        <f t="shared" ref="AI8:AI42" si="18">IF(E8&lt;0.5,0,S8*(1-S8)/E8)</f>
        <v>0</v>
      </c>
      <c r="AJ8" s="92">
        <f>U8*U8*((1-O8)*5+AB9)^2*AH8</f>
        <v>3904489.0110012167</v>
      </c>
      <c r="AK8" s="92">
        <f>SUM(AJ8:AJ$24)/U8/U8</f>
        <v>2.6601275425008036E-2</v>
      </c>
      <c r="AL8" s="92">
        <f>U8*U8*((1-O8)*5*(1-S8)+AC9)^2*AH8+V8*V8*AI8</f>
        <v>3750511.6902295328</v>
      </c>
      <c r="AM8" s="92">
        <f>SUM(AL8:AL$24)/U8/U8</f>
        <v>2.3480799609976684E-2</v>
      </c>
      <c r="AN8" s="92">
        <f>U8*U8*((1-O8)*5*S8+AE9)^2*AH8+V8*V8*AI8</f>
        <v>1548.7532185820817</v>
      </c>
      <c r="AO8" s="93">
        <f>SUM(AN8:AN$24)/U8/U8</f>
        <v>3.5910797258605255E-4</v>
      </c>
      <c r="AP8" s="80">
        <f t="shared" si="5"/>
        <v>75.13547922174746</v>
      </c>
      <c r="AQ8" s="81">
        <f t="shared" si="6"/>
        <v>75.774827201091142</v>
      </c>
      <c r="AR8" s="81">
        <f t="shared" si="7"/>
        <v>73.698230847901783</v>
      </c>
      <c r="AS8" s="81">
        <f t="shared" si="8"/>
        <v>74.298909929547506</v>
      </c>
      <c r="AT8" s="81">
        <f t="shared" si="9"/>
        <v>1.4194405396807139</v>
      </c>
      <c r="AU8" s="94">
        <f t="shared" si="10"/>
        <v>1.4937251057085661</v>
      </c>
    </row>
    <row r="9" spans="1:47" ht="14.45" customHeight="1" x14ac:dyDescent="0.25">
      <c r="A9" s="49"/>
      <c r="B9" s="73" t="s">
        <v>70</v>
      </c>
      <c r="C9" s="74">
        <v>27208</v>
      </c>
      <c r="D9" s="75">
        <v>2</v>
      </c>
      <c r="E9" s="75">
        <v>27208</v>
      </c>
      <c r="F9" s="76">
        <v>0</v>
      </c>
      <c r="G9" s="77" t="s">
        <v>70</v>
      </c>
      <c r="H9" s="75">
        <v>2904000</v>
      </c>
      <c r="I9" s="75">
        <v>318</v>
      </c>
      <c r="J9" s="78">
        <v>10</v>
      </c>
      <c r="K9" s="75">
        <v>99654</v>
      </c>
      <c r="L9" s="79">
        <v>7052676</v>
      </c>
      <c r="M9" s="57"/>
      <c r="N9" s="57"/>
      <c r="O9" s="80">
        <f t="shared" si="11"/>
        <v>0.56296296296296289</v>
      </c>
      <c r="P9" s="81">
        <f t="shared" si="12"/>
        <v>1.0101796755433119</v>
      </c>
      <c r="Q9" s="82">
        <f t="shared" si="13"/>
        <v>7.3507791825933543E-5</v>
      </c>
      <c r="R9" s="83">
        <f t="shared" si="14"/>
        <v>7.2767046898264247E-5</v>
      </c>
      <c r="S9" s="84">
        <f t="shared" si="15"/>
        <v>0</v>
      </c>
      <c r="T9" s="85">
        <f t="shared" ref="T9:T22" si="19">5*R9/(1+5*(1-O9)*R9)</f>
        <v>3.6377739044023193E-4</v>
      </c>
      <c r="U9" s="86">
        <f t="shared" ref="U9:U23" si="20">U8*(1-T8)</f>
        <v>99543.836654478466</v>
      </c>
      <c r="V9" s="86">
        <f t="shared" ref="V9:V22" si="21">5*U9*((1-T9)+O9*T9)</f>
        <v>497640.05378976924</v>
      </c>
      <c r="W9" s="87">
        <f>SUM(V9:V$24)</f>
        <v>7016170.1815516409</v>
      </c>
      <c r="X9" s="88">
        <f t="shared" si="0"/>
        <v>497640.05378976924</v>
      </c>
      <c r="Y9" s="86">
        <f>SUM(X9:X$24)</f>
        <v>6871120.6944057271</v>
      </c>
      <c r="Z9" s="86">
        <f t="shared" si="1"/>
        <v>0</v>
      </c>
      <c r="AA9" s="87">
        <f>SUM(Z9:Z$24)</f>
        <v>145049.48714591417</v>
      </c>
      <c r="AB9" s="80">
        <f t="shared" si="2"/>
        <v>70.483220431869739</v>
      </c>
      <c r="AC9" s="81">
        <f t="shared" si="3"/>
        <v>69.026078613543135</v>
      </c>
      <c r="AD9" s="89">
        <f t="shared" si="16"/>
        <v>97.932640124275963</v>
      </c>
      <c r="AE9" s="81">
        <f t="shared" si="4"/>
        <v>1.4571418183266138</v>
      </c>
      <c r="AF9" s="90">
        <f t="shared" si="17"/>
        <v>2.0673598757240548</v>
      </c>
      <c r="AH9" s="91">
        <f>IF(D9=0,0,T9*T9*(1-T9)/D9)</f>
        <v>6.6142924841015295E-8</v>
      </c>
      <c r="AI9" s="92">
        <f t="shared" si="18"/>
        <v>0</v>
      </c>
      <c r="AJ9" s="92">
        <f t="shared" ref="AJ9:AJ23" si="22">U9*U9*((1-O9)*5+AB10)^2*AH9</f>
        <v>3003309.3262741813</v>
      </c>
      <c r="AK9" s="92">
        <f>SUM(AJ9:AJ$24)/U9/U9</f>
        <v>2.6227661395913374E-2</v>
      </c>
      <c r="AL9" s="92">
        <f t="shared" ref="AL9:AL23" si="23">U9*U9*((1-O9)*5*(1-S9)+AC10)^2*AH9+V9*V9*AI9</f>
        <v>2875358.0475874771</v>
      </c>
      <c r="AM9" s="92">
        <f>SUM(AL9:AL$24)/U9/U9</f>
        <v>2.3120329195898598E-2</v>
      </c>
      <c r="AN9" s="92">
        <f t="shared" ref="AN9:AN23" si="24">U9*U9*((1-O9)*5*S9+AE10)^2*AH9+V9*V9*AI9</f>
        <v>1392.6174130571887</v>
      </c>
      <c r="AO9" s="93">
        <f>SUM(AN9:AN$24)/U9/U9</f>
        <v>3.5922735859240782E-4</v>
      </c>
      <c r="AP9" s="80">
        <f t="shared" si="5"/>
        <v>70.165799285727047</v>
      </c>
      <c r="AQ9" s="81">
        <f t="shared" si="6"/>
        <v>70.800641578012431</v>
      </c>
      <c r="AR9" s="81">
        <f t="shared" si="7"/>
        <v>68.728053351796817</v>
      </c>
      <c r="AS9" s="81">
        <f t="shared" si="8"/>
        <v>69.324103875289453</v>
      </c>
      <c r="AT9" s="81">
        <f t="shared" si="9"/>
        <v>1.4199933618207428</v>
      </c>
      <c r="AU9" s="94">
        <f t="shared" si="10"/>
        <v>1.4942902748324849</v>
      </c>
    </row>
    <row r="10" spans="1:47" ht="14.45" customHeight="1" x14ac:dyDescent="0.25">
      <c r="A10" s="49"/>
      <c r="B10" s="73" t="s">
        <v>71</v>
      </c>
      <c r="C10" s="74">
        <v>28160</v>
      </c>
      <c r="D10" s="75">
        <v>8</v>
      </c>
      <c r="E10" s="75">
        <v>28160</v>
      </c>
      <c r="F10" s="76">
        <v>0</v>
      </c>
      <c r="G10" s="77" t="s">
        <v>71</v>
      </c>
      <c r="H10" s="75">
        <v>3034000</v>
      </c>
      <c r="I10" s="75">
        <v>840</v>
      </c>
      <c r="J10" s="78">
        <v>15</v>
      </c>
      <c r="K10" s="75">
        <v>99600</v>
      </c>
      <c r="L10" s="79">
        <v>6554524</v>
      </c>
      <c r="M10" s="57"/>
      <c r="N10" s="57"/>
      <c r="O10" s="80">
        <f t="shared" si="11"/>
        <v>0.58273381294964033</v>
      </c>
      <c r="P10" s="81">
        <f t="shared" si="12"/>
        <v>0.99134603984577663</v>
      </c>
      <c r="Q10" s="82">
        <f t="shared" si="13"/>
        <v>2.8409090909090908E-4</v>
      </c>
      <c r="R10" s="83">
        <f t="shared" si="14"/>
        <v>2.8657088208584061E-4</v>
      </c>
      <c r="S10" s="84">
        <f t="shared" si="15"/>
        <v>0</v>
      </c>
      <c r="T10" s="85">
        <f t="shared" si="19"/>
        <v>1.4319982448892524E-3</v>
      </c>
      <c r="U10" s="86">
        <f t="shared" si="20"/>
        <v>99507.624857345887</v>
      </c>
      <c r="V10" s="86">
        <f t="shared" si="21"/>
        <v>497240.83309390099</v>
      </c>
      <c r="W10" s="87">
        <f>SUM(V10:V$24)</f>
        <v>6518530.1277618725</v>
      </c>
      <c r="X10" s="88">
        <f t="shared" si="0"/>
        <v>497240.83309390099</v>
      </c>
      <c r="Y10" s="86">
        <f>SUM(X10:X$24)</f>
        <v>6373480.6406159587</v>
      </c>
      <c r="Z10" s="86">
        <f t="shared" si="1"/>
        <v>0</v>
      </c>
      <c r="AA10" s="87">
        <f>SUM(Z10:Z$24)</f>
        <v>145049.48714591417</v>
      </c>
      <c r="AB10" s="80">
        <f t="shared" si="2"/>
        <v>65.507845625969225</v>
      </c>
      <c r="AC10" s="81">
        <f t="shared" si="3"/>
        <v>64.050173539494878</v>
      </c>
      <c r="AD10" s="89">
        <f t="shared" si="16"/>
        <v>97.774812966988364</v>
      </c>
      <c r="AE10" s="81">
        <f t="shared" si="4"/>
        <v>1.4576720864743491</v>
      </c>
      <c r="AF10" s="90">
        <f t="shared" si="17"/>
        <v>2.2251870330116388</v>
      </c>
      <c r="AH10" s="91">
        <f t="shared" ref="AH10:AH22" si="25">IF(D10=0,0,T10*T10*(1-T10)/D10)</f>
        <v>2.5596031132438782E-7</v>
      </c>
      <c r="AI10" s="92">
        <f t="shared" si="18"/>
        <v>0</v>
      </c>
      <c r="AJ10" s="92">
        <f t="shared" si="22"/>
        <v>9958591.558572378</v>
      </c>
      <c r="AK10" s="92">
        <f>SUM(AJ10:AJ$24)/U10/U10</f>
        <v>2.5943443444144277E-2</v>
      </c>
      <c r="AL10" s="92">
        <f t="shared" si="23"/>
        <v>9500167.6072284691</v>
      </c>
      <c r="AM10" s="92">
        <f>SUM(AL10:AL$24)/U10/U10</f>
        <v>2.2846771320179433E-2</v>
      </c>
      <c r="AN10" s="92">
        <f t="shared" si="24"/>
        <v>5400.6960282635655</v>
      </c>
      <c r="AO10" s="93">
        <f>SUM(AN10:AN$24)/U10/U10</f>
        <v>3.5934821554063797E-4</v>
      </c>
      <c r="AP10" s="80">
        <f t="shared" si="5"/>
        <v>65.192149043258823</v>
      </c>
      <c r="AQ10" s="81">
        <f t="shared" si="6"/>
        <v>65.823542208679626</v>
      </c>
      <c r="AR10" s="81">
        <f t="shared" si="7"/>
        <v>63.75391662952719</v>
      </c>
      <c r="AS10" s="81">
        <f t="shared" si="8"/>
        <v>64.346430449462559</v>
      </c>
      <c r="AT10" s="81">
        <f t="shared" si="9"/>
        <v>1.4205173814584171</v>
      </c>
      <c r="AU10" s="94">
        <f t="shared" si="10"/>
        <v>1.4948267914902811</v>
      </c>
    </row>
    <row r="11" spans="1:47" ht="14.45" customHeight="1" x14ac:dyDescent="0.25">
      <c r="A11" s="49"/>
      <c r="B11" s="73" t="s">
        <v>72</v>
      </c>
      <c r="C11" s="74">
        <v>21564</v>
      </c>
      <c r="D11" s="75">
        <v>12</v>
      </c>
      <c r="E11" s="75">
        <v>21564</v>
      </c>
      <c r="F11" s="76">
        <v>0</v>
      </c>
      <c r="G11" s="77" t="s">
        <v>72</v>
      </c>
      <c r="H11" s="75">
        <v>3076000</v>
      </c>
      <c r="I11" s="75">
        <v>1665</v>
      </c>
      <c r="J11" s="78">
        <v>20</v>
      </c>
      <c r="K11" s="75">
        <v>99461</v>
      </c>
      <c r="L11" s="79">
        <v>6056814</v>
      </c>
      <c r="M11" s="57"/>
      <c r="N11" s="57"/>
      <c r="O11" s="80">
        <f t="shared" si="11"/>
        <v>0.5219330855018588</v>
      </c>
      <c r="P11" s="81">
        <f t="shared" si="12"/>
        <v>0.99939359038194719</v>
      </c>
      <c r="Q11" s="82">
        <f t="shared" si="13"/>
        <v>5.5648302726766835E-4</v>
      </c>
      <c r="R11" s="83">
        <f t="shared" si="14"/>
        <v>5.5682068868882003E-4</v>
      </c>
      <c r="S11" s="84">
        <f t="shared" si="15"/>
        <v>0</v>
      </c>
      <c r="T11" s="85">
        <f t="shared" si="19"/>
        <v>2.7804027614484234E-3</v>
      </c>
      <c r="U11" s="86">
        <f t="shared" si="20"/>
        <v>99365.130113197069</v>
      </c>
      <c r="V11" s="86">
        <f t="shared" si="21"/>
        <v>496165.26068558439</v>
      </c>
      <c r="W11" s="87">
        <f>SUM(V11:V$24)</f>
        <v>6021289.2946679704</v>
      </c>
      <c r="X11" s="88">
        <f t="shared" si="0"/>
        <v>496165.26068558439</v>
      </c>
      <c r="Y11" s="86">
        <f>SUM(X11:X$24)</f>
        <v>5876239.8075220576</v>
      </c>
      <c r="Z11" s="86">
        <f t="shared" si="1"/>
        <v>0</v>
      </c>
      <c r="AA11" s="87">
        <f>SUM(Z11:Z$24)</f>
        <v>145049.48714591417</v>
      </c>
      <c r="AB11" s="80">
        <f t="shared" si="2"/>
        <v>60.59760891782156</v>
      </c>
      <c r="AC11" s="81">
        <f t="shared" si="3"/>
        <v>59.137846454061162</v>
      </c>
      <c r="AD11" s="89">
        <f t="shared" si="16"/>
        <v>97.591056000674826</v>
      </c>
      <c r="AE11" s="81">
        <f t="shared" si="4"/>
        <v>1.4597624637604092</v>
      </c>
      <c r="AF11" s="90">
        <f t="shared" si="17"/>
        <v>2.4089439993251909</v>
      </c>
      <c r="AH11" s="91">
        <f t="shared" si="25"/>
        <v>6.4242876870102749E-7</v>
      </c>
      <c r="AI11" s="92">
        <f t="shared" si="18"/>
        <v>0</v>
      </c>
      <c r="AJ11" s="92">
        <f t="shared" si="22"/>
        <v>21447999.795086492</v>
      </c>
      <c r="AK11" s="92">
        <f>SUM(AJ11:AJ$24)/U11/U11</f>
        <v>2.5009279860376616E-2</v>
      </c>
      <c r="AL11" s="92">
        <f t="shared" si="23"/>
        <v>20381746.915806532</v>
      </c>
      <c r="AM11" s="92">
        <f>SUM(AL11:AL$24)/U11/U11</f>
        <v>2.1950149856320357E-2</v>
      </c>
      <c r="AN11" s="92">
        <f t="shared" si="24"/>
        <v>13591.762178610395</v>
      </c>
      <c r="AO11" s="93">
        <f>SUM(AN11:AN$24)/U11/U11</f>
        <v>3.5983260951311541E-4</v>
      </c>
      <c r="AP11" s="80">
        <f t="shared" si="5"/>
        <v>60.287648195291069</v>
      </c>
      <c r="AQ11" s="81">
        <f t="shared" si="6"/>
        <v>60.907569640352051</v>
      </c>
      <c r="AR11" s="81">
        <f t="shared" si="7"/>
        <v>58.847461027966737</v>
      </c>
      <c r="AS11" s="81">
        <f t="shared" si="8"/>
        <v>59.428231880155586</v>
      </c>
      <c r="AT11" s="81">
        <f t="shared" si="9"/>
        <v>1.4225827252903018</v>
      </c>
      <c r="AU11" s="94">
        <f t="shared" si="10"/>
        <v>1.4969422022305165</v>
      </c>
    </row>
    <row r="12" spans="1:47" ht="14.45" customHeight="1" x14ac:dyDescent="0.25">
      <c r="A12" s="49"/>
      <c r="B12" s="73" t="s">
        <v>73</v>
      </c>
      <c r="C12" s="74">
        <v>22681</v>
      </c>
      <c r="D12" s="75">
        <v>17</v>
      </c>
      <c r="E12" s="75">
        <v>22681</v>
      </c>
      <c r="F12" s="76">
        <v>0</v>
      </c>
      <c r="G12" s="77" t="s">
        <v>73</v>
      </c>
      <c r="H12" s="75">
        <v>3304000</v>
      </c>
      <c r="I12" s="75">
        <v>1961</v>
      </c>
      <c r="J12" s="78">
        <v>25</v>
      </c>
      <c r="K12" s="75">
        <v>99192</v>
      </c>
      <c r="L12" s="79">
        <v>5560152</v>
      </c>
      <c r="M12" s="57"/>
      <c r="N12" s="57"/>
      <c r="O12" s="80">
        <f t="shared" si="11"/>
        <v>0.50958904109589043</v>
      </c>
      <c r="P12" s="81">
        <f t="shared" si="12"/>
        <v>1.0066394034628015</v>
      </c>
      <c r="Q12" s="82">
        <f t="shared" si="13"/>
        <v>7.4952603500727478E-4</v>
      </c>
      <c r="R12" s="83">
        <f t="shared" si="14"/>
        <v>7.4458245169912248E-4</v>
      </c>
      <c r="S12" s="84">
        <f t="shared" si="15"/>
        <v>0</v>
      </c>
      <c r="T12" s="85">
        <f t="shared" si="19"/>
        <v>3.7161275127854886E-3</v>
      </c>
      <c r="U12" s="86">
        <f t="shared" si="20"/>
        <v>99088.855031038649</v>
      </c>
      <c r="V12" s="86">
        <f t="shared" si="21"/>
        <v>494541.36281478178</v>
      </c>
      <c r="W12" s="87">
        <f>SUM(V12:V$24)</f>
        <v>5525124.0339823868</v>
      </c>
      <c r="X12" s="88">
        <f t="shared" si="0"/>
        <v>494541.36281478178</v>
      </c>
      <c r="Y12" s="86">
        <f>SUM(X12:X$24)</f>
        <v>5380074.546836473</v>
      </c>
      <c r="Z12" s="86">
        <f t="shared" si="1"/>
        <v>0</v>
      </c>
      <c r="AA12" s="87">
        <f>SUM(Z12:Z$24)</f>
        <v>145049.48714591417</v>
      </c>
      <c r="AB12" s="80">
        <f t="shared" si="2"/>
        <v>55.759288289805085</v>
      </c>
      <c r="AC12" s="81">
        <f t="shared" si="3"/>
        <v>54.295455782097953</v>
      </c>
      <c r="AD12" s="89">
        <f t="shared" si="16"/>
        <v>97.374728852170847</v>
      </c>
      <c r="AE12" s="81">
        <f t="shared" si="4"/>
        <v>1.4638325077071361</v>
      </c>
      <c r="AF12" s="90">
        <f t="shared" si="17"/>
        <v>2.6252711478291597</v>
      </c>
      <c r="AH12" s="91">
        <f t="shared" si="25"/>
        <v>8.093109084154957E-7</v>
      </c>
      <c r="AI12" s="92">
        <f t="shared" si="18"/>
        <v>0</v>
      </c>
      <c r="AJ12" s="92">
        <f t="shared" si="22"/>
        <v>22667689.54652762</v>
      </c>
      <c r="AK12" s="92">
        <f>SUM(AJ12:AJ$24)/U12/U12</f>
        <v>2.2964508580602526E-2</v>
      </c>
      <c r="AL12" s="92">
        <f t="shared" si="23"/>
        <v>21437677.739298906</v>
      </c>
      <c r="AM12" s="92">
        <f>SUM(AL12:AL$24)/U12/U12</f>
        <v>1.9996891330267143E-2</v>
      </c>
      <c r="AN12" s="92">
        <f t="shared" si="24"/>
        <v>17154.639227495569</v>
      </c>
      <c r="AO12" s="93">
        <f>SUM(AN12:AN$24)/U12/U12</f>
        <v>3.6045765790978016E-4</v>
      </c>
      <c r="AP12" s="80">
        <f t="shared" si="5"/>
        <v>55.462269003961147</v>
      </c>
      <c r="AQ12" s="81">
        <f t="shared" si="6"/>
        <v>56.056307575649022</v>
      </c>
      <c r="AR12" s="81">
        <f t="shared" si="7"/>
        <v>54.018291466692176</v>
      </c>
      <c r="AS12" s="81">
        <f t="shared" si="8"/>
        <v>54.57262009750373</v>
      </c>
      <c r="AT12" s="81">
        <f t="shared" si="9"/>
        <v>1.4266204916555136</v>
      </c>
      <c r="AU12" s="94">
        <f t="shared" si="10"/>
        <v>1.5010445237587586</v>
      </c>
    </row>
    <row r="13" spans="1:47" ht="14.45" customHeight="1" x14ac:dyDescent="0.25">
      <c r="A13" s="49"/>
      <c r="B13" s="73" t="s">
        <v>74</v>
      </c>
      <c r="C13" s="74">
        <v>28617</v>
      </c>
      <c r="D13" s="75">
        <v>19</v>
      </c>
      <c r="E13" s="75">
        <v>28617</v>
      </c>
      <c r="F13" s="76">
        <v>0</v>
      </c>
      <c r="G13" s="77" t="s">
        <v>74</v>
      </c>
      <c r="H13" s="75">
        <v>3703000</v>
      </c>
      <c r="I13" s="75">
        <v>2574</v>
      </c>
      <c r="J13" s="78">
        <v>30</v>
      </c>
      <c r="K13" s="75">
        <v>98900</v>
      </c>
      <c r="L13" s="79">
        <v>5064908</v>
      </c>
      <c r="M13" s="57"/>
      <c r="N13" s="57"/>
      <c r="O13" s="80">
        <f t="shared" si="11"/>
        <v>0.51242603550295851</v>
      </c>
      <c r="P13" s="81">
        <f t="shared" si="12"/>
        <v>1.0152667068281434</v>
      </c>
      <c r="Q13" s="82">
        <f t="shared" si="13"/>
        <v>6.6394101408253834E-4</v>
      </c>
      <c r="R13" s="83">
        <f t="shared" si="14"/>
        <v>6.5395724061197375E-4</v>
      </c>
      <c r="S13" s="84">
        <f t="shared" si="15"/>
        <v>0</v>
      </c>
      <c r="T13" s="85">
        <f t="shared" si="19"/>
        <v>3.2645816026340472E-3</v>
      </c>
      <c r="U13" s="86">
        <f t="shared" si="20"/>
        <v>98720.628210647395</v>
      </c>
      <c r="V13" s="86">
        <f t="shared" si="21"/>
        <v>492817.4605962981</v>
      </c>
      <c r="W13" s="87">
        <f>SUM(V13:V$24)</f>
        <v>5030582.6711676046</v>
      </c>
      <c r="X13" s="88">
        <f t="shared" si="0"/>
        <v>492817.4605962981</v>
      </c>
      <c r="Y13" s="86">
        <f>SUM(X13:X$24)</f>
        <v>4885533.1840216909</v>
      </c>
      <c r="Z13" s="86">
        <f t="shared" si="1"/>
        <v>0</v>
      </c>
      <c r="AA13" s="87">
        <f>SUM(Z13:Z$24)</f>
        <v>145049.48714591417</v>
      </c>
      <c r="AB13" s="80">
        <f t="shared" si="2"/>
        <v>50.957765994291321</v>
      </c>
      <c r="AC13" s="81">
        <f t="shared" si="3"/>
        <v>49.488473407979868</v>
      </c>
      <c r="AD13" s="89">
        <f t="shared" si="16"/>
        <v>97.116646388155914</v>
      </c>
      <c r="AE13" s="81">
        <f t="shared" si="4"/>
        <v>1.4692925863114599</v>
      </c>
      <c r="AF13" s="90">
        <f t="shared" si="17"/>
        <v>2.8833536118440932</v>
      </c>
      <c r="AH13" s="91">
        <f t="shared" si="25"/>
        <v>5.5908951497617164E-7</v>
      </c>
      <c r="AI13" s="92">
        <f t="shared" si="18"/>
        <v>0</v>
      </c>
      <c r="AJ13" s="92">
        <f t="shared" si="22"/>
        <v>12845463.705941046</v>
      </c>
      <c r="AK13" s="92">
        <f>SUM(AJ13:AJ$24)/U13/U13</f>
        <v>2.081024066912723E-2</v>
      </c>
      <c r="AL13" s="92">
        <f t="shared" si="23"/>
        <v>12077326.636425471</v>
      </c>
      <c r="AM13" s="92">
        <f>SUM(AL13:AL$24)/U13/U13</f>
        <v>1.7946653684471594E-2</v>
      </c>
      <c r="AN13" s="92">
        <f t="shared" si="24"/>
        <v>11840.061576469003</v>
      </c>
      <c r="AO13" s="93">
        <f>SUM(AN13:AN$24)/U13/U13</f>
        <v>3.6139146361331475E-4</v>
      </c>
      <c r="AP13" s="80">
        <f t="shared" si="5"/>
        <v>50.675021196718461</v>
      </c>
      <c r="AQ13" s="81">
        <f t="shared" si="6"/>
        <v>51.240510791864182</v>
      </c>
      <c r="AR13" s="81">
        <f t="shared" si="7"/>
        <v>49.225901770527791</v>
      </c>
      <c r="AS13" s="81">
        <f t="shared" si="8"/>
        <v>49.751045045431944</v>
      </c>
      <c r="AT13" s="81">
        <f t="shared" si="9"/>
        <v>1.4320324005011755</v>
      </c>
      <c r="AU13" s="94">
        <f t="shared" si="10"/>
        <v>1.5065527721217442</v>
      </c>
    </row>
    <row r="14" spans="1:47" ht="14.45" customHeight="1" x14ac:dyDescent="0.25">
      <c r="A14" s="49"/>
      <c r="B14" s="73" t="s">
        <v>75</v>
      </c>
      <c r="C14" s="74">
        <v>33309</v>
      </c>
      <c r="D14" s="75">
        <v>40</v>
      </c>
      <c r="E14" s="75">
        <v>33309</v>
      </c>
      <c r="F14" s="76">
        <v>0</v>
      </c>
      <c r="G14" s="77" t="s">
        <v>75</v>
      </c>
      <c r="H14" s="75">
        <v>4328000</v>
      </c>
      <c r="I14" s="75">
        <v>3715</v>
      </c>
      <c r="J14" s="78">
        <v>35</v>
      </c>
      <c r="K14" s="75">
        <v>98562</v>
      </c>
      <c r="L14" s="79">
        <v>4571232</v>
      </c>
      <c r="M14" s="57"/>
      <c r="N14" s="57"/>
      <c r="O14" s="80">
        <f t="shared" si="11"/>
        <v>0.53014354066985647</v>
      </c>
      <c r="P14" s="81">
        <f t="shared" si="12"/>
        <v>1.0099701399145653</v>
      </c>
      <c r="Q14" s="82">
        <f t="shared" si="13"/>
        <v>1.2008766399471615E-3</v>
      </c>
      <c r="R14" s="83">
        <f t="shared" si="14"/>
        <v>1.1890219249934906E-3</v>
      </c>
      <c r="S14" s="84">
        <f t="shared" si="15"/>
        <v>0</v>
      </c>
      <c r="T14" s="85">
        <f t="shared" si="19"/>
        <v>5.9285491231903277E-3</v>
      </c>
      <c r="U14" s="86">
        <f t="shared" si="20"/>
        <v>98398.346663990436</v>
      </c>
      <c r="V14" s="86">
        <f t="shared" si="21"/>
        <v>490621.25733415049</v>
      </c>
      <c r="W14" s="87">
        <f>SUM(V14:V$24)</f>
        <v>4537765.2105713077</v>
      </c>
      <c r="X14" s="88">
        <f t="shared" si="0"/>
        <v>490621.25733415049</v>
      </c>
      <c r="Y14" s="86">
        <f>SUM(X14:X$24)</f>
        <v>4392715.7234253921</v>
      </c>
      <c r="Z14" s="86">
        <f t="shared" si="1"/>
        <v>0</v>
      </c>
      <c r="AA14" s="87">
        <f>SUM(Z14:Z$24)</f>
        <v>145049.48714591417</v>
      </c>
      <c r="AB14" s="80">
        <f t="shared" si="2"/>
        <v>46.116274962086685</v>
      </c>
      <c r="AC14" s="81">
        <f t="shared" si="3"/>
        <v>44.642170039966096</v>
      </c>
      <c r="AD14" s="89">
        <f t="shared" si="16"/>
        <v>96.80350391844857</v>
      </c>
      <c r="AE14" s="81">
        <f t="shared" si="4"/>
        <v>1.4741049221205669</v>
      </c>
      <c r="AF14" s="90">
        <f t="shared" si="17"/>
        <v>3.196496081551393</v>
      </c>
      <c r="AH14" s="91">
        <f t="shared" si="25"/>
        <v>8.7348299678622268E-7</v>
      </c>
      <c r="AI14" s="92">
        <f t="shared" si="18"/>
        <v>0</v>
      </c>
      <c r="AJ14" s="92">
        <f t="shared" si="22"/>
        <v>16169081.841361102</v>
      </c>
      <c r="AK14" s="92">
        <f>SUM(AJ14:AJ$24)/U14/U14</f>
        <v>1.9620077945839323E-2</v>
      </c>
      <c r="AL14" s="92">
        <f t="shared" si="23"/>
        <v>15090952.307423335</v>
      </c>
      <c r="AM14" s="92">
        <f>SUM(AL14:AL$24)/U14/U14</f>
        <v>1.6817036866928998E-2</v>
      </c>
      <c r="AN14" s="92">
        <f t="shared" si="24"/>
        <v>18597.374986400311</v>
      </c>
      <c r="AO14" s="93">
        <f>SUM(AN14:AN$24)/U14/U14</f>
        <v>3.625397879827873E-4</v>
      </c>
      <c r="AP14" s="80">
        <f t="shared" si="5"/>
        <v>45.841734452440591</v>
      </c>
      <c r="AQ14" s="81">
        <f t="shared" si="6"/>
        <v>46.390815471732779</v>
      </c>
      <c r="AR14" s="81">
        <f t="shared" si="7"/>
        <v>44.387996223793003</v>
      </c>
      <c r="AS14" s="81">
        <f t="shared" si="8"/>
        <v>44.89634385613919</v>
      </c>
      <c r="AT14" s="81">
        <f t="shared" si="9"/>
        <v>1.4367855859861356</v>
      </c>
      <c r="AU14" s="94">
        <f t="shared" si="10"/>
        <v>1.5114242582549982</v>
      </c>
    </row>
    <row r="15" spans="1:47" ht="14.45" customHeight="1" x14ac:dyDescent="0.25">
      <c r="A15" s="49"/>
      <c r="B15" s="73" t="s">
        <v>76</v>
      </c>
      <c r="C15" s="74">
        <v>33939</v>
      </c>
      <c r="D15" s="75">
        <v>52</v>
      </c>
      <c r="E15" s="75">
        <v>33939</v>
      </c>
      <c r="F15" s="76">
        <v>0</v>
      </c>
      <c r="G15" s="77" t="s">
        <v>76</v>
      </c>
      <c r="H15" s="75">
        <v>4898000</v>
      </c>
      <c r="I15" s="75">
        <v>6449</v>
      </c>
      <c r="J15" s="78">
        <v>40</v>
      </c>
      <c r="K15" s="75">
        <v>98144</v>
      </c>
      <c r="L15" s="79">
        <v>4079404</v>
      </c>
      <c r="M15" s="57"/>
      <c r="N15" s="57"/>
      <c r="O15" s="80">
        <f t="shared" si="11"/>
        <v>0.53931888544891637</v>
      </c>
      <c r="P15" s="81">
        <f t="shared" si="12"/>
        <v>0.99713953126757993</v>
      </c>
      <c r="Q15" s="82">
        <f t="shared" si="13"/>
        <v>1.5321606411502992E-3</v>
      </c>
      <c r="R15" s="83">
        <f t="shared" si="14"/>
        <v>1.5365559112901599E-3</v>
      </c>
      <c r="S15" s="84">
        <f t="shared" si="15"/>
        <v>0</v>
      </c>
      <c r="T15" s="85">
        <f t="shared" si="19"/>
        <v>7.6556837074557224E-3</v>
      </c>
      <c r="U15" s="86">
        <f t="shared" si="20"/>
        <v>97814.987232152256</v>
      </c>
      <c r="V15" s="86">
        <f t="shared" si="21"/>
        <v>487350.05254017602</v>
      </c>
      <c r="W15" s="87">
        <f>SUM(V15:V$24)</f>
        <v>4047143.9532371564</v>
      </c>
      <c r="X15" s="88">
        <f t="shared" si="0"/>
        <v>487350.05254017602</v>
      </c>
      <c r="Y15" s="86">
        <f>SUM(X15:X$24)</f>
        <v>3902094.4660912417</v>
      </c>
      <c r="Z15" s="86">
        <f t="shared" si="1"/>
        <v>0</v>
      </c>
      <c r="AA15" s="87">
        <f>SUM(Z15:Z$24)</f>
        <v>145049.48714591417</v>
      </c>
      <c r="AB15" s="80">
        <f t="shared" si="2"/>
        <v>41.375499478742874</v>
      </c>
      <c r="AC15" s="81">
        <f t="shared" si="3"/>
        <v>39.892603132790725</v>
      </c>
      <c r="AD15" s="89">
        <f t="shared" si="16"/>
        <v>96.416003759147358</v>
      </c>
      <c r="AE15" s="81">
        <f t="shared" si="4"/>
        <v>1.4828963459521438</v>
      </c>
      <c r="AF15" s="90">
        <f t="shared" si="17"/>
        <v>3.5839962408526294</v>
      </c>
      <c r="AH15" s="91">
        <f t="shared" si="25"/>
        <v>1.1184768709177248E-6</v>
      </c>
      <c r="AI15" s="92">
        <f t="shared" si="18"/>
        <v>0</v>
      </c>
      <c r="AJ15" s="92">
        <f t="shared" si="22"/>
        <v>16257785.23552699</v>
      </c>
      <c r="AK15" s="92">
        <f>SUM(AJ15:AJ$24)/U15/U15</f>
        <v>1.8164847695954472E-2</v>
      </c>
      <c r="AL15" s="92">
        <f t="shared" si="23"/>
        <v>15035079.230490545</v>
      </c>
      <c r="AM15" s="92">
        <f>SUM(AL15:AL$24)/U15/U15</f>
        <v>1.5440956219237172E-2</v>
      </c>
      <c r="AN15" s="92">
        <f t="shared" si="24"/>
        <v>23896.518325517627</v>
      </c>
      <c r="AO15" s="93">
        <f>SUM(AN15:AN$24)/U15/U15</f>
        <v>3.6493323765893334E-4</v>
      </c>
      <c r="AP15" s="80">
        <f t="shared" si="5"/>
        <v>41.111336500813003</v>
      </c>
      <c r="AQ15" s="81">
        <f t="shared" si="6"/>
        <v>41.639662456672745</v>
      </c>
      <c r="AR15" s="81">
        <f t="shared" si="7"/>
        <v>39.649050310159119</v>
      </c>
      <c r="AS15" s="81">
        <f t="shared" si="8"/>
        <v>40.136155955422332</v>
      </c>
      <c r="AT15" s="81">
        <f t="shared" si="9"/>
        <v>1.445454023297285</v>
      </c>
      <c r="AU15" s="94">
        <f t="shared" si="10"/>
        <v>1.5203386686070026</v>
      </c>
    </row>
    <row r="16" spans="1:47" ht="14.45" customHeight="1" x14ac:dyDescent="0.25">
      <c r="A16" s="49"/>
      <c r="B16" s="73" t="s">
        <v>77</v>
      </c>
      <c r="C16" s="74">
        <v>29757</v>
      </c>
      <c r="D16" s="75">
        <v>80</v>
      </c>
      <c r="E16" s="75">
        <v>29757</v>
      </c>
      <c r="F16" s="76">
        <v>58.5</v>
      </c>
      <c r="G16" s="77" t="s">
        <v>77</v>
      </c>
      <c r="H16" s="75">
        <v>4279000</v>
      </c>
      <c r="I16" s="75">
        <v>8750</v>
      </c>
      <c r="J16" s="78">
        <v>45</v>
      </c>
      <c r="K16" s="75">
        <v>97498</v>
      </c>
      <c r="L16" s="79">
        <v>3590172</v>
      </c>
      <c r="M16" s="57"/>
      <c r="N16" s="57"/>
      <c r="O16" s="80">
        <f t="shared" si="11"/>
        <v>0.53769841269841268</v>
      </c>
      <c r="P16" s="81">
        <f t="shared" si="12"/>
        <v>0.98421554880423789</v>
      </c>
      <c r="Q16" s="82">
        <f t="shared" si="13"/>
        <v>2.6884430554155324E-3</v>
      </c>
      <c r="R16" s="83">
        <f t="shared" si="14"/>
        <v>2.7315592185896955E-3</v>
      </c>
      <c r="S16" s="84">
        <f t="shared" si="15"/>
        <v>1.9659239842726079E-3</v>
      </c>
      <c r="T16" s="85">
        <f t="shared" si="19"/>
        <v>1.3572101561217362E-2</v>
      </c>
      <c r="U16" s="86">
        <f t="shared" si="20"/>
        <v>97066.146628054077</v>
      </c>
      <c r="V16" s="86">
        <f t="shared" si="21"/>
        <v>482285.57200093783</v>
      </c>
      <c r="W16" s="87">
        <f>SUM(V16:V$24)</f>
        <v>3559793.9006969803</v>
      </c>
      <c r="X16" s="88">
        <f t="shared" si="0"/>
        <v>481337.43522767251</v>
      </c>
      <c r="Y16" s="86">
        <f>SUM(X16:X$24)</f>
        <v>3414744.4135510656</v>
      </c>
      <c r="Z16" s="86">
        <f t="shared" si="1"/>
        <v>948.13677326527738</v>
      </c>
      <c r="AA16" s="87">
        <f>SUM(Z16:Z$24)</f>
        <v>145049.48714591417</v>
      </c>
      <c r="AB16" s="80">
        <f t="shared" si="2"/>
        <v>36.673897381933649</v>
      </c>
      <c r="AC16" s="81">
        <f t="shared" si="3"/>
        <v>35.179560868280468</v>
      </c>
      <c r="AD16" s="89">
        <f t="shared" si="16"/>
        <v>95.925340309237697</v>
      </c>
      <c r="AE16" s="81">
        <f t="shared" si="4"/>
        <v>1.4943365136531745</v>
      </c>
      <c r="AF16" s="90">
        <f t="shared" si="17"/>
        <v>4.0746596907622825</v>
      </c>
      <c r="AH16" s="91">
        <f t="shared" si="25"/>
        <v>2.2712741667481337E-6</v>
      </c>
      <c r="AI16" s="92">
        <f t="shared" si="18"/>
        <v>6.5936052934122035E-8</v>
      </c>
      <c r="AJ16" s="92">
        <f t="shared" si="22"/>
        <v>25401499.464498568</v>
      </c>
      <c r="AK16" s="92">
        <f>SUM(AJ16:AJ$24)/U16/U16</f>
        <v>1.6720660097232908E-2</v>
      </c>
      <c r="AL16" s="92">
        <f t="shared" si="23"/>
        <v>23239695.104036745</v>
      </c>
      <c r="AM16" s="92">
        <f>SUM(AL16:AL$24)/U16/U16</f>
        <v>1.4084351877800371E-2</v>
      </c>
      <c r="AN16" s="92">
        <f t="shared" si="24"/>
        <v>64100.050420734537</v>
      </c>
      <c r="AO16" s="93">
        <f>SUM(AN16:AN$24)/U16/U16</f>
        <v>3.6804940067133298E-4</v>
      </c>
      <c r="AP16" s="80">
        <f t="shared" si="5"/>
        <v>36.420452934707967</v>
      </c>
      <c r="AQ16" s="81">
        <f t="shared" si="6"/>
        <v>36.927341829159332</v>
      </c>
      <c r="AR16" s="81">
        <f t="shared" si="7"/>
        <v>34.946952944568146</v>
      </c>
      <c r="AS16" s="81">
        <f t="shared" si="8"/>
        <v>35.412168791992791</v>
      </c>
      <c r="AT16" s="81">
        <f t="shared" si="9"/>
        <v>1.4567346709108435</v>
      </c>
      <c r="AU16" s="94">
        <f t="shared" si="10"/>
        <v>1.5319383563955056</v>
      </c>
    </row>
    <row r="17" spans="1:47" ht="14.45" customHeight="1" x14ac:dyDescent="0.25">
      <c r="A17" s="49"/>
      <c r="B17" s="73" t="s">
        <v>78</v>
      </c>
      <c r="C17" s="74">
        <v>32516</v>
      </c>
      <c r="D17" s="75">
        <v>120</v>
      </c>
      <c r="E17" s="75">
        <v>32516</v>
      </c>
      <c r="F17" s="76">
        <v>58.5</v>
      </c>
      <c r="G17" s="77" t="s">
        <v>78</v>
      </c>
      <c r="H17" s="75">
        <v>3860000</v>
      </c>
      <c r="I17" s="75">
        <v>12954</v>
      </c>
      <c r="J17" s="78">
        <v>50</v>
      </c>
      <c r="K17" s="75">
        <v>96490</v>
      </c>
      <c r="L17" s="79">
        <v>3105012</v>
      </c>
      <c r="M17" s="57"/>
      <c r="N17" s="57"/>
      <c r="O17" s="80">
        <f t="shared" si="11"/>
        <v>0.53784119106699757</v>
      </c>
      <c r="P17" s="81">
        <f t="shared" si="12"/>
        <v>0.99663849657362524</v>
      </c>
      <c r="Q17" s="82">
        <f t="shared" si="13"/>
        <v>3.6904908352810924E-3</v>
      </c>
      <c r="R17" s="83">
        <f t="shared" si="14"/>
        <v>3.7029382749800923E-3</v>
      </c>
      <c r="S17" s="84">
        <f t="shared" si="15"/>
        <v>1.7991142821995325E-3</v>
      </c>
      <c r="T17" s="85">
        <f t="shared" si="19"/>
        <v>1.8357610302073495E-2</v>
      </c>
      <c r="U17" s="86">
        <f t="shared" si="20"/>
        <v>95748.755027862106</v>
      </c>
      <c r="V17" s="86">
        <f t="shared" si="21"/>
        <v>474682.0500861961</v>
      </c>
      <c r="W17" s="87">
        <f>SUM(V17:V$24)</f>
        <v>3077508.3286960423</v>
      </c>
      <c r="X17" s="88">
        <f t="shared" si="0"/>
        <v>473828.04283038224</v>
      </c>
      <c r="Y17" s="86">
        <f>SUM(X17:X$24)</f>
        <v>2933406.978323393</v>
      </c>
      <c r="Z17" s="86">
        <f t="shared" si="1"/>
        <v>854.00725581382926</v>
      </c>
      <c r="AA17" s="87">
        <f>SUM(Z17:Z$24)</f>
        <v>144101.35037264891</v>
      </c>
      <c r="AB17" s="80">
        <f t="shared" si="2"/>
        <v>32.141497064901912</v>
      </c>
      <c r="AC17" s="81">
        <f t="shared" si="3"/>
        <v>30.636502557864024</v>
      </c>
      <c r="AD17" s="89">
        <f t="shared" si="16"/>
        <v>95.317596737952442</v>
      </c>
      <c r="AE17" s="81">
        <f t="shared" si="4"/>
        <v>1.504994507037889</v>
      </c>
      <c r="AF17" s="90">
        <f t="shared" si="17"/>
        <v>4.6824032620475631</v>
      </c>
      <c r="AH17" s="91">
        <f t="shared" si="25"/>
        <v>2.7567942271601675E-6</v>
      </c>
      <c r="AI17" s="92">
        <f t="shared" si="18"/>
        <v>5.5230577869329502E-8</v>
      </c>
      <c r="AJ17" s="92">
        <f t="shared" si="22"/>
        <v>22751088.670075022</v>
      </c>
      <c r="AK17" s="92">
        <f>SUM(AJ17:AJ$24)/U17/U17</f>
        <v>1.4413216290622801E-2</v>
      </c>
      <c r="AL17" s="92">
        <f t="shared" si="23"/>
        <v>20504899.152298599</v>
      </c>
      <c r="AM17" s="92">
        <f>SUM(AL17:AL$24)/U17/U17</f>
        <v>1.1939667357705878E-2</v>
      </c>
      <c r="AN17" s="92">
        <f t="shared" si="24"/>
        <v>71469.864801197444</v>
      </c>
      <c r="AO17" s="93">
        <f>SUM(AN17:AN$24)/U17/U17</f>
        <v>3.7125508863031584E-4</v>
      </c>
      <c r="AP17" s="80">
        <f t="shared" si="5"/>
        <v>31.90618915661565</v>
      </c>
      <c r="AQ17" s="81">
        <f t="shared" si="6"/>
        <v>32.376804973188179</v>
      </c>
      <c r="AR17" s="81">
        <f t="shared" si="7"/>
        <v>30.422335739422504</v>
      </c>
      <c r="AS17" s="81">
        <f t="shared" si="8"/>
        <v>30.850669376305543</v>
      </c>
      <c r="AT17" s="81">
        <f t="shared" si="9"/>
        <v>1.4672292644399363</v>
      </c>
      <c r="AU17" s="94">
        <f t="shared" si="10"/>
        <v>1.5427597496358416</v>
      </c>
    </row>
    <row r="18" spans="1:47" ht="14.45" customHeight="1" x14ac:dyDescent="0.25">
      <c r="A18" s="49"/>
      <c r="B18" s="73" t="s">
        <v>79</v>
      </c>
      <c r="C18" s="74">
        <v>37305</v>
      </c>
      <c r="D18" s="75">
        <v>226</v>
      </c>
      <c r="E18" s="75">
        <v>37305</v>
      </c>
      <c r="F18" s="76">
        <v>117</v>
      </c>
      <c r="G18" s="77" t="s">
        <v>79</v>
      </c>
      <c r="H18" s="75">
        <v>3769000</v>
      </c>
      <c r="I18" s="75">
        <v>20277</v>
      </c>
      <c r="J18" s="78">
        <v>55</v>
      </c>
      <c r="K18" s="75">
        <v>94878</v>
      </c>
      <c r="L18" s="79">
        <v>2626287</v>
      </c>
      <c r="M18" s="57"/>
      <c r="N18" s="57"/>
      <c r="O18" s="80">
        <f t="shared" si="11"/>
        <v>0.53516308671439938</v>
      </c>
      <c r="P18" s="81">
        <f t="shared" si="12"/>
        <v>1.0026871561178334</v>
      </c>
      <c r="Q18" s="82">
        <f t="shared" si="13"/>
        <v>6.0581691462270474E-3</v>
      </c>
      <c r="R18" s="83">
        <f t="shared" si="14"/>
        <v>6.0419335275848545E-3</v>
      </c>
      <c r="S18" s="84">
        <f t="shared" si="15"/>
        <v>3.1363088057901087E-3</v>
      </c>
      <c r="T18" s="85">
        <f t="shared" si="19"/>
        <v>2.9791320967874107E-2</v>
      </c>
      <c r="U18" s="86">
        <f t="shared" si="20"/>
        <v>93991.036696151918</v>
      </c>
      <c r="V18" s="86">
        <f t="shared" si="21"/>
        <v>463447.19443439296</v>
      </c>
      <c r="W18" s="87">
        <f>SUM(V18:V$24)</f>
        <v>2602826.2786098463</v>
      </c>
      <c r="X18" s="88">
        <f t="shared" si="0"/>
        <v>461993.68091746967</v>
      </c>
      <c r="Y18" s="86">
        <f>SUM(X18:X$24)</f>
        <v>2459578.935493011</v>
      </c>
      <c r="Z18" s="86">
        <f t="shared" si="1"/>
        <v>1453.5135169233072</v>
      </c>
      <c r="AA18" s="87">
        <f>SUM(Z18:Z$24)</f>
        <v>143247.34311683505</v>
      </c>
      <c r="AB18" s="80">
        <f t="shared" si="2"/>
        <v>27.692281839853443</v>
      </c>
      <c r="AC18" s="81">
        <f t="shared" si="3"/>
        <v>26.168228609331941</v>
      </c>
      <c r="AD18" s="89">
        <f t="shared" si="16"/>
        <v>94.496469307458241</v>
      </c>
      <c r="AE18" s="81">
        <f t="shared" si="4"/>
        <v>1.5240532305214987</v>
      </c>
      <c r="AF18" s="90">
        <f t="shared" si="17"/>
        <v>5.5035306925417471</v>
      </c>
      <c r="AH18" s="91">
        <f t="shared" si="25"/>
        <v>3.8100987976128668E-6</v>
      </c>
      <c r="AI18" s="92">
        <f t="shared" si="18"/>
        <v>8.3808400291243319E-8</v>
      </c>
      <c r="AJ18" s="92">
        <f t="shared" si="22"/>
        <v>22378487.828703154</v>
      </c>
      <c r="AK18" s="92">
        <f>SUM(AJ18:AJ$24)/U18/U18</f>
        <v>1.2382028838902843E-2</v>
      </c>
      <c r="AL18" s="92">
        <f t="shared" si="23"/>
        <v>19766963.698757242</v>
      </c>
      <c r="AM18" s="92">
        <f>SUM(AL18:AL$24)/U18/U18</f>
        <v>1.0069356942580756E-2</v>
      </c>
      <c r="AN18" s="92">
        <f t="shared" si="24"/>
        <v>100145.99501925072</v>
      </c>
      <c r="AO18" s="93">
        <f>SUM(AN18:AN$24)/U18/U18</f>
        <v>3.7718051573773173E-4</v>
      </c>
      <c r="AP18" s="80">
        <f t="shared" si="5"/>
        <v>27.474183692251202</v>
      </c>
      <c r="AQ18" s="81">
        <f t="shared" si="6"/>
        <v>27.910379987455684</v>
      </c>
      <c r="AR18" s="81">
        <f t="shared" si="7"/>
        <v>25.97155008576971</v>
      </c>
      <c r="AS18" s="81">
        <f t="shared" si="8"/>
        <v>26.364907132894171</v>
      </c>
      <c r="AT18" s="81">
        <f t="shared" si="9"/>
        <v>1.4859878043547254</v>
      </c>
      <c r="AU18" s="94">
        <f t="shared" si="10"/>
        <v>1.5621186566882719</v>
      </c>
    </row>
    <row r="19" spans="1:47" ht="14.45" customHeight="1" x14ac:dyDescent="0.25">
      <c r="A19" s="49"/>
      <c r="B19" s="73" t="s">
        <v>80</v>
      </c>
      <c r="C19" s="74">
        <v>43444</v>
      </c>
      <c r="D19" s="75">
        <v>422</v>
      </c>
      <c r="E19" s="75">
        <v>43444</v>
      </c>
      <c r="F19" s="76">
        <v>351</v>
      </c>
      <c r="G19" s="77" t="s">
        <v>80</v>
      </c>
      <c r="H19" s="75">
        <v>4379000</v>
      </c>
      <c r="I19" s="75">
        <v>39570</v>
      </c>
      <c r="J19" s="78">
        <v>60</v>
      </c>
      <c r="K19" s="75">
        <v>92364</v>
      </c>
      <c r="L19" s="79">
        <v>2157740</v>
      </c>
      <c r="M19" s="57"/>
      <c r="N19" s="57"/>
      <c r="O19" s="80">
        <f t="shared" si="11"/>
        <v>0.53939393939393943</v>
      </c>
      <c r="P19" s="81">
        <f t="shared" si="12"/>
        <v>1.0330144906475118</v>
      </c>
      <c r="Q19" s="82">
        <f t="shared" si="13"/>
        <v>9.713654359635393E-3</v>
      </c>
      <c r="R19" s="83">
        <f t="shared" si="14"/>
        <v>9.4032121016489334E-3</v>
      </c>
      <c r="S19" s="84">
        <f t="shared" si="15"/>
        <v>8.0793665408341771E-3</v>
      </c>
      <c r="T19" s="85">
        <f t="shared" si="19"/>
        <v>4.6019468313602201E-2</v>
      </c>
      <c r="U19" s="86">
        <f t="shared" si="20"/>
        <v>91190.919553833621</v>
      </c>
      <c r="V19" s="86">
        <f t="shared" si="21"/>
        <v>446289.79837219574</v>
      </c>
      <c r="W19" s="87">
        <f>SUM(V19:V$24)</f>
        <v>2139379.0841754535</v>
      </c>
      <c r="X19" s="88">
        <f t="shared" si="0"/>
        <v>442684.05950771179</v>
      </c>
      <c r="Y19" s="86">
        <f>SUM(X19:X$24)</f>
        <v>1997585.2545755415</v>
      </c>
      <c r="Z19" s="86">
        <f t="shared" si="1"/>
        <v>3605.7388644839493</v>
      </c>
      <c r="AA19" s="87">
        <f>SUM(Z19:Z$24)</f>
        <v>141793.82959991175</v>
      </c>
      <c r="AB19" s="80">
        <f t="shared" si="2"/>
        <v>23.460439862244105</v>
      </c>
      <c r="AC19" s="81">
        <f t="shared" si="3"/>
        <v>21.905528141936188</v>
      </c>
      <c r="AD19" s="89">
        <f t="shared" si="16"/>
        <v>93.372197071162745</v>
      </c>
      <c r="AE19" s="81">
        <f t="shared" si="4"/>
        <v>1.554911720307911</v>
      </c>
      <c r="AF19" s="90">
        <f t="shared" si="17"/>
        <v>6.6278029288372275</v>
      </c>
      <c r="AH19" s="91">
        <f t="shared" si="25"/>
        <v>4.7875161770151865E-6</v>
      </c>
      <c r="AI19" s="92">
        <f t="shared" si="18"/>
        <v>1.8446944059324707E-7</v>
      </c>
      <c r="AJ19" s="92">
        <f t="shared" si="22"/>
        <v>18859679.021759983</v>
      </c>
      <c r="AK19" s="92">
        <f>SUM(AJ19:AJ$24)/U19/U19</f>
        <v>1.0463025135523463E-2</v>
      </c>
      <c r="AL19" s="92">
        <f t="shared" si="23"/>
        <v>16214141.442201655</v>
      </c>
      <c r="AM19" s="92">
        <f>SUM(AL19:AL$24)/U19/U19</f>
        <v>8.3201907070593936E-3</v>
      </c>
      <c r="AN19" s="92">
        <f t="shared" si="24"/>
        <v>139564.03988462017</v>
      </c>
      <c r="AO19" s="93">
        <f>SUM(AN19:AN$24)/U19/U19</f>
        <v>3.8865674712526218E-4</v>
      </c>
      <c r="AP19" s="80">
        <f t="shared" si="5"/>
        <v>23.259953560067057</v>
      </c>
      <c r="AQ19" s="81">
        <f t="shared" si="6"/>
        <v>23.660926164421152</v>
      </c>
      <c r="AR19" s="81">
        <f t="shared" si="7"/>
        <v>21.726746586343225</v>
      </c>
      <c r="AS19" s="81">
        <f t="shared" si="8"/>
        <v>22.08430969752915</v>
      </c>
      <c r="AT19" s="81">
        <f t="shared" si="9"/>
        <v>1.5162715370816839</v>
      </c>
      <c r="AU19" s="94">
        <f t="shared" si="10"/>
        <v>1.5935519035341381</v>
      </c>
    </row>
    <row r="20" spans="1:47" ht="14.45" customHeight="1" x14ac:dyDescent="0.25">
      <c r="A20" s="49"/>
      <c r="B20" s="73" t="s">
        <v>81</v>
      </c>
      <c r="C20" s="74">
        <v>39351</v>
      </c>
      <c r="D20" s="75">
        <v>538</v>
      </c>
      <c r="E20" s="75">
        <v>39351</v>
      </c>
      <c r="F20" s="76">
        <v>645</v>
      </c>
      <c r="G20" s="77" t="s">
        <v>81</v>
      </c>
      <c r="H20" s="75">
        <v>4391000</v>
      </c>
      <c r="I20" s="75">
        <v>59068</v>
      </c>
      <c r="J20" s="78">
        <v>65</v>
      </c>
      <c r="K20" s="75">
        <v>88404</v>
      </c>
      <c r="L20" s="79">
        <v>1705040</v>
      </c>
      <c r="M20" s="57"/>
      <c r="N20" s="57"/>
      <c r="O20" s="80">
        <f t="shared" si="11"/>
        <v>0.52904417940534187</v>
      </c>
      <c r="P20" s="81">
        <f t="shared" si="12"/>
        <v>0.96716093173952811</v>
      </c>
      <c r="Q20" s="82">
        <f t="shared" si="13"/>
        <v>1.3671825366572641E-2</v>
      </c>
      <c r="R20" s="83">
        <f t="shared" si="14"/>
        <v>1.4136039740545146E-2</v>
      </c>
      <c r="S20" s="84">
        <f t="shared" si="15"/>
        <v>1.6390943051002516E-2</v>
      </c>
      <c r="T20" s="85">
        <f t="shared" si="19"/>
        <v>6.8403242792071411E-2</v>
      </c>
      <c r="U20" s="86">
        <f t="shared" si="20"/>
        <v>86994.361920937736</v>
      </c>
      <c r="V20" s="86">
        <f t="shared" si="21"/>
        <v>420959.2339324982</v>
      </c>
      <c r="W20" s="87">
        <f>SUM(V20:V$24)</f>
        <v>1693089.2858032575</v>
      </c>
      <c r="X20" s="88">
        <f t="shared" si="0"/>
        <v>414059.31510231696</v>
      </c>
      <c r="Y20" s="86">
        <f>SUM(X20:X$24)</f>
        <v>1554901.1950678297</v>
      </c>
      <c r="Z20" s="86">
        <f t="shared" si="1"/>
        <v>6899.9188301812237</v>
      </c>
      <c r="AA20" s="87">
        <f>SUM(Z20:Z$24)</f>
        <v>138188.0907354278</v>
      </c>
      <c r="AB20" s="80">
        <f t="shared" si="2"/>
        <v>19.462057637045167</v>
      </c>
      <c r="AC20" s="81">
        <f t="shared" si="3"/>
        <v>17.87358583629771</v>
      </c>
      <c r="AD20" s="89">
        <f t="shared" si="16"/>
        <v>91.838109667685558</v>
      </c>
      <c r="AE20" s="81">
        <f t="shared" si="4"/>
        <v>1.5884718007474552</v>
      </c>
      <c r="AF20" s="90">
        <f t="shared" si="17"/>
        <v>8.1618903323144476</v>
      </c>
      <c r="AH20" s="91">
        <f t="shared" si="25"/>
        <v>8.1021275158390199E-6</v>
      </c>
      <c r="AI20" s="92">
        <f t="shared" si="18"/>
        <v>4.0970445571653342E-7</v>
      </c>
      <c r="AJ20" s="92">
        <f t="shared" si="22"/>
        <v>19980850.387387853</v>
      </c>
      <c r="AK20" s="92">
        <f>SUM(AJ20:AJ$24)/U20/U20</f>
        <v>9.0048103658102417E-3</v>
      </c>
      <c r="AL20" s="92">
        <f t="shared" si="23"/>
        <v>16550485.018937787</v>
      </c>
      <c r="AM20" s="92">
        <f>SUM(AL20:AL$24)/U20/U20</f>
        <v>6.9998193299662878E-3</v>
      </c>
      <c r="AN20" s="92">
        <f t="shared" si="24"/>
        <v>241275.71999947258</v>
      </c>
      <c r="AO20" s="93">
        <f>SUM(AN20:AN$24)/U20/U20</f>
        <v>4.0861702946074754E-4</v>
      </c>
      <c r="AP20" s="80">
        <f t="shared" si="5"/>
        <v>19.276066025671707</v>
      </c>
      <c r="AQ20" s="81">
        <f t="shared" si="6"/>
        <v>19.648049248418626</v>
      </c>
      <c r="AR20" s="81">
        <f t="shared" si="7"/>
        <v>17.709602587342221</v>
      </c>
      <c r="AS20" s="81">
        <f t="shared" si="8"/>
        <v>18.0375690852532</v>
      </c>
      <c r="AT20" s="81">
        <f t="shared" si="9"/>
        <v>1.5488518161389724</v>
      </c>
      <c r="AU20" s="94">
        <f t="shared" si="10"/>
        <v>1.628091785355938</v>
      </c>
    </row>
    <row r="21" spans="1:47" ht="14.45" customHeight="1" x14ac:dyDescent="0.25">
      <c r="A21" s="49"/>
      <c r="B21" s="73" t="s">
        <v>82</v>
      </c>
      <c r="C21" s="74">
        <v>29984</v>
      </c>
      <c r="D21" s="75">
        <v>603</v>
      </c>
      <c r="E21" s="75">
        <v>29984</v>
      </c>
      <c r="F21" s="76">
        <v>1027</v>
      </c>
      <c r="G21" s="77" t="s">
        <v>82</v>
      </c>
      <c r="H21" s="75">
        <v>3674000</v>
      </c>
      <c r="I21" s="75">
        <v>77300</v>
      </c>
      <c r="J21" s="78">
        <v>70</v>
      </c>
      <c r="K21" s="75">
        <v>82451</v>
      </c>
      <c r="L21" s="79">
        <v>1277038</v>
      </c>
      <c r="M21" s="57"/>
      <c r="N21" s="57"/>
      <c r="O21" s="80">
        <f t="shared" si="11"/>
        <v>0.52670007158196142</v>
      </c>
      <c r="P21" s="81">
        <f t="shared" si="12"/>
        <v>0.98501470086442589</v>
      </c>
      <c r="Q21" s="82">
        <f t="shared" si="13"/>
        <v>2.0110725720384207E-2</v>
      </c>
      <c r="R21" s="83">
        <f t="shared" si="14"/>
        <v>2.0416675713302048E-2</v>
      </c>
      <c r="S21" s="84">
        <f t="shared" si="15"/>
        <v>3.4251600853788686E-2</v>
      </c>
      <c r="T21" s="85">
        <f t="shared" si="19"/>
        <v>9.7378436593441337E-2</v>
      </c>
      <c r="U21" s="86">
        <f t="shared" si="20"/>
        <v>81043.665460918492</v>
      </c>
      <c r="V21" s="86">
        <f t="shared" si="21"/>
        <v>386542.13590924203</v>
      </c>
      <c r="W21" s="87">
        <f>SUM(V21:V$24)</f>
        <v>1272130.0518707593</v>
      </c>
      <c r="X21" s="88">
        <f t="shared" si="0"/>
        <v>373302.44895690773</v>
      </c>
      <c r="Y21" s="86">
        <f>SUM(X21:X$24)</f>
        <v>1140841.8799655128</v>
      </c>
      <c r="Z21" s="86">
        <f t="shared" si="1"/>
        <v>13239.686952334296</v>
      </c>
      <c r="AA21" s="87">
        <f>SUM(Z21:Z$24)</f>
        <v>131288.17190524659</v>
      </c>
      <c r="AB21" s="80">
        <f t="shared" si="2"/>
        <v>15.696847429540508</v>
      </c>
      <c r="AC21" s="81">
        <f t="shared" si="3"/>
        <v>14.07687909322979</v>
      </c>
      <c r="AD21" s="89">
        <f t="shared" si="16"/>
        <v>89.679658010422926</v>
      </c>
      <c r="AE21" s="81">
        <f t="shared" si="4"/>
        <v>1.6199683363107189</v>
      </c>
      <c r="AF21" s="90">
        <f t="shared" si="17"/>
        <v>10.320341989577075</v>
      </c>
      <c r="AH21" s="91">
        <f t="shared" si="25"/>
        <v>1.4194300255578792E-5</v>
      </c>
      <c r="AI21" s="92">
        <f t="shared" si="18"/>
        <v>1.1032026645124543E-6</v>
      </c>
      <c r="AJ21" s="92">
        <f t="shared" si="22"/>
        <v>19527635.501885258</v>
      </c>
      <c r="AK21" s="92">
        <f>SUM(AJ21:AJ$24)/U21/U21</f>
        <v>7.3336130281807538E-3</v>
      </c>
      <c r="AL21" s="92">
        <f t="shared" si="23"/>
        <v>15386740.254006775</v>
      </c>
      <c r="AM21" s="92">
        <f>SUM(AL21:AL$24)/U21/U21</f>
        <v>5.5456548173061079E-3</v>
      </c>
      <c r="AN21" s="92">
        <f t="shared" si="24"/>
        <v>432622.85664730193</v>
      </c>
      <c r="AO21" s="93">
        <f>SUM(AN21:AN$24)/U21/U21</f>
        <v>4.3409148287135082E-4</v>
      </c>
      <c r="AP21" s="80">
        <f t="shared" si="5"/>
        <v>15.528999856400295</v>
      </c>
      <c r="AQ21" s="81">
        <f t="shared" si="6"/>
        <v>15.864695002680721</v>
      </c>
      <c r="AR21" s="81">
        <f t="shared" si="7"/>
        <v>13.930919552444808</v>
      </c>
      <c r="AS21" s="81">
        <f t="shared" si="8"/>
        <v>14.222838634014773</v>
      </c>
      <c r="AT21" s="81">
        <f t="shared" si="9"/>
        <v>1.5791320063997367</v>
      </c>
      <c r="AU21" s="94">
        <f t="shared" si="10"/>
        <v>1.6608046662217011</v>
      </c>
    </row>
    <row r="22" spans="1:47" ht="14.45" customHeight="1" x14ac:dyDescent="0.25">
      <c r="A22" s="49"/>
      <c r="B22" s="73" t="s">
        <v>83</v>
      </c>
      <c r="C22" s="74">
        <v>26065</v>
      </c>
      <c r="D22" s="75">
        <v>914</v>
      </c>
      <c r="E22" s="75">
        <v>26065</v>
      </c>
      <c r="F22" s="76">
        <v>1611</v>
      </c>
      <c r="G22" s="77" t="s">
        <v>83</v>
      </c>
      <c r="H22" s="75">
        <v>2758000</v>
      </c>
      <c r="I22" s="75">
        <v>99061</v>
      </c>
      <c r="J22" s="78">
        <v>75</v>
      </c>
      <c r="K22" s="75">
        <v>74069</v>
      </c>
      <c r="L22" s="79">
        <v>884619</v>
      </c>
      <c r="M22" s="57"/>
      <c r="N22" s="57"/>
      <c r="O22" s="80">
        <f t="shared" si="11"/>
        <v>0.53408276311502112</v>
      </c>
      <c r="P22" s="81">
        <f t="shared" si="12"/>
        <v>0.99989932917681812</v>
      </c>
      <c r="Q22" s="82">
        <f t="shared" si="13"/>
        <v>3.5066180702090929E-2</v>
      </c>
      <c r="R22" s="83">
        <f t="shared" si="14"/>
        <v>3.506971119878606E-2</v>
      </c>
      <c r="S22" s="84">
        <f t="shared" si="15"/>
        <v>6.1807020909265299E-2</v>
      </c>
      <c r="T22" s="85">
        <f t="shared" si="19"/>
        <v>0.16210492191111112</v>
      </c>
      <c r="U22" s="86">
        <f t="shared" si="20"/>
        <v>73151.760022532369</v>
      </c>
      <c r="V22" s="86">
        <f t="shared" si="21"/>
        <v>338133.96063904354</v>
      </c>
      <c r="W22" s="87">
        <f>SUM(V22:V$24)</f>
        <v>885587.91596151737</v>
      </c>
      <c r="X22" s="88">
        <f t="shared" si="0"/>
        <v>317234.90786369349</v>
      </c>
      <c r="Y22" s="86">
        <f>SUM(X22:X$24)</f>
        <v>767539.43100860505</v>
      </c>
      <c r="Z22" s="86">
        <f t="shared" si="1"/>
        <v>20899.052775350054</v>
      </c>
      <c r="AA22" s="87">
        <f>SUM(Z22:Z$24)</f>
        <v>118048.48495291229</v>
      </c>
      <c r="AB22" s="80">
        <f t="shared" si="2"/>
        <v>12.10617373647246</v>
      </c>
      <c r="AC22" s="81">
        <f t="shared" si="3"/>
        <v>10.492426030107627</v>
      </c>
      <c r="AD22" s="89">
        <f t="shared" si="16"/>
        <v>86.670043388663174</v>
      </c>
      <c r="AE22" s="81">
        <f t="shared" si="4"/>
        <v>1.6137477063648329</v>
      </c>
      <c r="AF22" s="90">
        <f t="shared" si="17"/>
        <v>13.329956611336824</v>
      </c>
      <c r="AH22" s="91">
        <f t="shared" si="25"/>
        <v>2.4089947094708512E-5</v>
      </c>
      <c r="AI22" s="92">
        <f t="shared" si="18"/>
        <v>2.2247041272045634E-6</v>
      </c>
      <c r="AJ22" s="92">
        <f t="shared" si="22"/>
        <v>16347821.672223737</v>
      </c>
      <c r="AK22" s="92">
        <f>SUM(AJ22:AJ$24)/U22/U22</f>
        <v>5.3521074108678268E-3</v>
      </c>
      <c r="AL22" s="92">
        <f t="shared" si="23"/>
        <v>11967688.384934127</v>
      </c>
      <c r="AM22" s="92">
        <f>SUM(AL22:AL$24)/U22/U22</f>
        <v>3.9313834475878011E-3</v>
      </c>
      <c r="AN22" s="92">
        <f t="shared" si="24"/>
        <v>639716.02774137189</v>
      </c>
      <c r="AO22" s="93">
        <f>SUM(AN22:AN$24)/U22/U22</f>
        <v>4.5196066494376016E-4</v>
      </c>
      <c r="AP22" s="80">
        <f t="shared" si="5"/>
        <v>11.962783862947202</v>
      </c>
      <c r="AQ22" s="81">
        <f t="shared" si="6"/>
        <v>12.249563609997718</v>
      </c>
      <c r="AR22" s="81">
        <f t="shared" si="7"/>
        <v>10.369532569532</v>
      </c>
      <c r="AS22" s="81">
        <f t="shared" si="8"/>
        <v>10.615319490683254</v>
      </c>
      <c r="AT22" s="81">
        <f t="shared" si="9"/>
        <v>1.5720793479804671</v>
      </c>
      <c r="AU22" s="94">
        <f t="shared" si="10"/>
        <v>1.6554160647491987</v>
      </c>
    </row>
    <row r="23" spans="1:47" ht="14.45" customHeight="1" x14ac:dyDescent="0.25">
      <c r="A23" s="49"/>
      <c r="B23" s="73" t="s">
        <v>84</v>
      </c>
      <c r="C23" s="74">
        <v>20518</v>
      </c>
      <c r="D23" s="75">
        <v>1281</v>
      </c>
      <c r="E23" s="75">
        <v>20518</v>
      </c>
      <c r="F23" s="76">
        <v>2357</v>
      </c>
      <c r="G23" s="77" t="s">
        <v>84</v>
      </c>
      <c r="H23" s="75">
        <v>1938000</v>
      </c>
      <c r="I23" s="75">
        <v>125619</v>
      </c>
      <c r="J23" s="78">
        <v>80</v>
      </c>
      <c r="K23" s="75">
        <v>61793</v>
      </c>
      <c r="L23" s="79">
        <v>542872</v>
      </c>
      <c r="M23" s="57"/>
      <c r="N23" s="57"/>
      <c r="O23" s="80">
        <f>IF(K23&lt;0.5,0.5,((L23-L24)-5*K24)/5/(K23-K24))</f>
        <v>0.52392575353351878</v>
      </c>
      <c r="P23" s="81">
        <f t="shared" si="12"/>
        <v>0.98249344277823403</v>
      </c>
      <c r="Q23" s="82">
        <f t="shared" si="13"/>
        <v>6.2432985671118039E-2</v>
      </c>
      <c r="R23" s="83">
        <f t="shared" si="14"/>
        <v>6.3545447687237397E-2</v>
      </c>
      <c r="S23" s="84">
        <f t="shared" si="15"/>
        <v>0.11487474412710791</v>
      </c>
      <c r="T23" s="85">
        <f>5*R23/(1+5*(1-O23)*R23)</f>
        <v>0.27598175383231804</v>
      </c>
      <c r="U23" s="86">
        <f t="shared" si="20"/>
        <v>61293.499676419415</v>
      </c>
      <c r="V23" s="86">
        <f>5*U23*((1-T23)+O23*T23)</f>
        <v>266201.40631437028</v>
      </c>
      <c r="W23" s="87">
        <f>SUM(V23:V$24)</f>
        <v>547453.95532247378</v>
      </c>
      <c r="X23" s="88">
        <f t="shared" si="0"/>
        <v>235621.58787773072</v>
      </c>
      <c r="Y23" s="86">
        <f>SUM(X23:X$24)</f>
        <v>450304.52314491163</v>
      </c>
      <c r="Z23" s="86">
        <f t="shared" si="1"/>
        <v>30579.818436639573</v>
      </c>
      <c r="AA23" s="87">
        <f>SUM(Z23:Z$24)</f>
        <v>97149.432177562237</v>
      </c>
      <c r="AB23" s="80">
        <f t="shared" si="2"/>
        <v>8.9316804916115444</v>
      </c>
      <c r="AC23" s="81">
        <f t="shared" si="3"/>
        <v>7.3466929694365444</v>
      </c>
      <c r="AD23" s="89">
        <f t="shared" si="16"/>
        <v>82.254319065000274</v>
      </c>
      <c r="AE23" s="81">
        <f t="shared" si="4"/>
        <v>1.5849875221750012</v>
      </c>
      <c r="AF23" s="90">
        <f t="shared" si="17"/>
        <v>17.745680934999744</v>
      </c>
      <c r="AH23" s="91">
        <f>IF(D23=0,0,T23*T23*(1-T23)/D23)</f>
        <v>4.3048807129520966E-5</v>
      </c>
      <c r="AI23" s="92">
        <f t="shared" si="18"/>
        <v>4.9555774095350133E-6</v>
      </c>
      <c r="AJ23" s="92">
        <f t="shared" si="22"/>
        <v>12292268.43266093</v>
      </c>
      <c r="AK23" s="92">
        <f>SUM(AJ23:AJ$24)/U23/U23</f>
        <v>3.2719239267704498E-3</v>
      </c>
      <c r="AL23" s="92">
        <f t="shared" si="23"/>
        <v>8150911.7358884439</v>
      </c>
      <c r="AM23" s="92">
        <f>SUM(AL23:AL$24)/U23/U23</f>
        <v>2.4141895503637495E-3</v>
      </c>
      <c r="AN23" s="92">
        <f t="shared" si="24"/>
        <v>859866.50655713282</v>
      </c>
      <c r="AO23" s="93">
        <f>SUM(AN23:AN$24)/U23/U23</f>
        <v>4.7347816192471923E-4</v>
      </c>
      <c r="AP23" s="80">
        <f t="shared" si="5"/>
        <v>8.8195670537145592</v>
      </c>
      <c r="AQ23" s="81">
        <f t="shared" si="6"/>
        <v>9.0437939295085297</v>
      </c>
      <c r="AR23" s="81">
        <f t="shared" si="7"/>
        <v>7.2503895397121703</v>
      </c>
      <c r="AS23" s="81">
        <f t="shared" si="8"/>
        <v>7.4429963991609185</v>
      </c>
      <c r="AT23" s="81">
        <f t="shared" si="9"/>
        <v>1.5423387976120086</v>
      </c>
      <c r="AU23" s="94">
        <f t="shared" si="10"/>
        <v>1.6276362467379937</v>
      </c>
    </row>
    <row r="24" spans="1:47" ht="14.45" customHeight="1" x14ac:dyDescent="0.25">
      <c r="A24" s="25"/>
      <c r="B24" s="95" t="s">
        <v>85</v>
      </c>
      <c r="C24" s="96">
        <v>15552</v>
      </c>
      <c r="D24" s="97">
        <v>2155</v>
      </c>
      <c r="E24" s="97">
        <v>15552</v>
      </c>
      <c r="F24" s="98">
        <v>3681</v>
      </c>
      <c r="G24" s="99" t="s">
        <v>85</v>
      </c>
      <c r="H24" s="97">
        <v>1408000</v>
      </c>
      <c r="I24" s="97">
        <v>198026</v>
      </c>
      <c r="J24" s="100">
        <v>85</v>
      </c>
      <c r="K24" s="97">
        <v>44176</v>
      </c>
      <c r="L24" s="101">
        <v>275842</v>
      </c>
      <c r="M24" s="57"/>
      <c r="N24" s="57"/>
      <c r="O24" s="102">
        <v>1</v>
      </c>
      <c r="P24" s="103">
        <f>IF(H24&lt;0.5,1,(I24/H24)/(K24/L24))</f>
        <v>0.878200265377025</v>
      </c>
      <c r="Q24" s="104">
        <f t="shared" si="13"/>
        <v>0.13856738683127573</v>
      </c>
      <c r="R24" s="105">
        <f t="shared" si="14"/>
        <v>0.15778563534342205</v>
      </c>
      <c r="S24" s="106">
        <f t="shared" si="15"/>
        <v>0.23668981481481483</v>
      </c>
      <c r="T24" s="102">
        <v>1</v>
      </c>
      <c r="U24" s="107">
        <f>U23*(1-T23)</f>
        <v>44377.612137200565</v>
      </c>
      <c r="V24" s="107">
        <f>U24/R24</f>
        <v>281252.54900810355</v>
      </c>
      <c r="W24" s="108">
        <f>SUM(V24:V$24)</f>
        <v>281252.54900810355</v>
      </c>
      <c r="X24" s="102">
        <f t="shared" si="0"/>
        <v>214682.93526718087</v>
      </c>
      <c r="Y24" s="107">
        <f>SUM(X24:X$24)</f>
        <v>214682.93526718087</v>
      </c>
      <c r="Z24" s="107">
        <f t="shared" si="1"/>
        <v>66569.613740922665</v>
      </c>
      <c r="AA24" s="108">
        <f>SUM(Z24:Z$24)</f>
        <v>66569.613740922665</v>
      </c>
      <c r="AB24" s="109">
        <f t="shared" si="2"/>
        <v>6.3377125415979076</v>
      </c>
      <c r="AC24" s="103">
        <f t="shared" si="3"/>
        <v>4.8376405337775692</v>
      </c>
      <c r="AD24" s="110">
        <f t="shared" si="16"/>
        <v>76.331018518518505</v>
      </c>
      <c r="AE24" s="103">
        <f t="shared" si="4"/>
        <v>1.5000720078203382</v>
      </c>
      <c r="AF24" s="111">
        <f t="shared" si="17"/>
        <v>23.668981481481481</v>
      </c>
      <c r="AH24" s="112">
        <f>0</f>
        <v>0</v>
      </c>
      <c r="AI24" s="113">
        <f t="shared" si="18"/>
        <v>1.1617010440955726E-5</v>
      </c>
      <c r="AJ24" s="113">
        <v>0</v>
      </c>
      <c r="AK24" s="113">
        <f>(1-R24)/R24/R24/D24</f>
        <v>1.5697859730083297E-2</v>
      </c>
      <c r="AL24" s="113">
        <f>V24*V24*AI24</f>
        <v>918940.33420162892</v>
      </c>
      <c r="AM24" s="113">
        <f>(1-S24)*(1-S24)*(1-R24)/R24/R24/D24+AI24/R24/R24</f>
        <v>9.6128550917901311E-3</v>
      </c>
      <c r="AN24" s="113">
        <f>V24*V24*AI24</f>
        <v>918940.33420162892</v>
      </c>
      <c r="AO24" s="114">
        <f>S24*S24*(1-R24)/R24/R24/D24+AI24/R24/R24</f>
        <v>1.3460423867115443E-3</v>
      </c>
      <c r="AP24" s="109">
        <f t="shared" si="5"/>
        <v>6.0921419856692944</v>
      </c>
      <c r="AQ24" s="103">
        <f t="shared" si="6"/>
        <v>6.5832830975265209</v>
      </c>
      <c r="AR24" s="103">
        <f t="shared" si="7"/>
        <v>4.6454720032617196</v>
      </c>
      <c r="AS24" s="103">
        <f t="shared" si="8"/>
        <v>5.0298090642934188</v>
      </c>
      <c r="AT24" s="103">
        <f t="shared" si="9"/>
        <v>1.428162645197721</v>
      </c>
      <c r="AU24" s="115">
        <f t="shared" si="10"/>
        <v>1.5719813704429555</v>
      </c>
    </row>
    <row r="25" spans="1:47" ht="14.45" customHeight="1" x14ac:dyDescent="0.15">
      <c r="A25" s="49" t="s">
        <v>86</v>
      </c>
      <c r="B25" s="50" t="s">
        <v>68</v>
      </c>
      <c r="C25" s="51">
        <v>24468</v>
      </c>
      <c r="D25" s="52">
        <v>13</v>
      </c>
      <c r="E25" s="52">
        <v>24468</v>
      </c>
      <c r="F25" s="116">
        <v>0</v>
      </c>
      <c r="G25" s="54" t="s">
        <v>68</v>
      </c>
      <c r="H25" s="117">
        <v>2513000</v>
      </c>
      <c r="I25" s="117">
        <v>1341</v>
      </c>
      <c r="J25" s="55">
        <v>0</v>
      </c>
      <c r="K25" s="117">
        <v>100000</v>
      </c>
      <c r="L25" s="118">
        <v>8683073</v>
      </c>
      <c r="M25" s="57"/>
      <c r="N25" s="57"/>
      <c r="O25" s="119">
        <f t="shared" ref="O25:O40" si="26">IF(K25&lt;0.5,0.5,((L25-L26)-5*K26)/5/(K25-K26))</f>
        <v>0.17289377289377292</v>
      </c>
      <c r="P25" s="120">
        <f t="shared" ref="P25:P40" si="27">IF(H25&lt;0.5,1,(I25/H25)/((K25-K26)/(L25-L26)))</f>
        <v>0.97512861471993995</v>
      </c>
      <c r="Q25" s="60">
        <f t="shared" si="13"/>
        <v>5.3130619584763775E-4</v>
      </c>
      <c r="R25" s="121">
        <f t="shared" si="14"/>
        <v>5.4485755809784186E-4</v>
      </c>
      <c r="S25" s="122">
        <f t="shared" si="15"/>
        <v>0</v>
      </c>
      <c r="T25" s="123">
        <f>5*R25/(1+5*(1-O25)*R25)</f>
        <v>2.7181630206326557E-3</v>
      </c>
      <c r="U25" s="124">
        <v>100000</v>
      </c>
      <c r="V25" s="124">
        <f>5*U25*((1-T25)+O25*T25)</f>
        <v>498875.89521967241</v>
      </c>
      <c r="W25" s="125">
        <f>SUM(V25:V$42)</f>
        <v>8717287.0324023459</v>
      </c>
      <c r="X25" s="126">
        <f t="shared" si="0"/>
        <v>498875.89521967241</v>
      </c>
      <c r="Y25" s="124">
        <f>SUM(X25:X$42)</f>
        <v>8415992.3038660008</v>
      </c>
      <c r="Z25" s="124">
        <f t="shared" si="1"/>
        <v>0</v>
      </c>
      <c r="AA25" s="125">
        <f>SUM(Z25:Z$42)</f>
        <v>301294.72853634658</v>
      </c>
      <c r="AB25" s="119">
        <f t="shared" si="2"/>
        <v>87.172870324023464</v>
      </c>
      <c r="AC25" s="120">
        <f t="shared" si="3"/>
        <v>84.159923038660011</v>
      </c>
      <c r="AD25" s="67">
        <f t="shared" si="16"/>
        <v>96.543709901756984</v>
      </c>
      <c r="AE25" s="120">
        <f t="shared" si="4"/>
        <v>3.0129472853634658</v>
      </c>
      <c r="AF25" s="68">
        <f t="shared" si="17"/>
        <v>3.4562900982430369</v>
      </c>
      <c r="AH25" s="69">
        <f>IF(D25=0,0,T25*T25*(1-T25)/D25)</f>
        <v>5.6679440794843323E-7</v>
      </c>
      <c r="AI25" s="70">
        <f t="shared" si="18"/>
        <v>0</v>
      </c>
      <c r="AJ25" s="70">
        <f>U25*U25*((1-O25)*5+AB26)^2*AH25</f>
        <v>42451777.936053872</v>
      </c>
      <c r="AK25" s="70">
        <f>SUM(AJ25:AJ$42)/U25/U25</f>
        <v>2.0264956995288137E-2</v>
      </c>
      <c r="AL25" s="70">
        <f>U25*U25*((1-O25)*5*(1-S25)+AC26)^2*AH25+V25*V25*AI25</f>
        <v>39539606.136442304</v>
      </c>
      <c r="AM25" s="70">
        <f>SUM(AL25:AL$42)/U25/U25</f>
        <v>1.6614672396137189E-2</v>
      </c>
      <c r="AN25" s="70">
        <f>U25*U25*((1-O25)*5*S25+AE26)^2*AH25+V25*V25*AI25</f>
        <v>51733.612336617138</v>
      </c>
      <c r="AO25" s="71">
        <f>SUM(AN25:AN$42)/U25/U25</f>
        <v>6.5685918215150209E-4</v>
      </c>
      <c r="AP25" s="119">
        <f t="shared" si="5"/>
        <v>86.893854448501841</v>
      </c>
      <c r="AQ25" s="120">
        <f t="shared" si="6"/>
        <v>87.451886199545086</v>
      </c>
      <c r="AR25" s="120">
        <f t="shared" si="7"/>
        <v>83.907283125983881</v>
      </c>
      <c r="AS25" s="120">
        <f t="shared" si="8"/>
        <v>84.412562951336142</v>
      </c>
      <c r="AT25" s="120">
        <f t="shared" si="9"/>
        <v>2.9627139275804826</v>
      </c>
      <c r="AU25" s="127">
        <f t="shared" si="10"/>
        <v>3.063180643146449</v>
      </c>
    </row>
    <row r="26" spans="1:47" ht="14.45" customHeight="1" x14ac:dyDescent="0.15">
      <c r="A26" s="128"/>
      <c r="B26" s="73" t="s">
        <v>69</v>
      </c>
      <c r="C26" s="129">
        <v>24532</v>
      </c>
      <c r="D26" s="75">
        <v>3</v>
      </c>
      <c r="E26" s="75">
        <v>24532</v>
      </c>
      <c r="F26" s="130">
        <v>0</v>
      </c>
      <c r="G26" s="77" t="s">
        <v>69</v>
      </c>
      <c r="H26" s="75">
        <v>2569000</v>
      </c>
      <c r="I26" s="75">
        <v>184</v>
      </c>
      <c r="J26" s="78">
        <v>5</v>
      </c>
      <c r="K26" s="75">
        <v>99727</v>
      </c>
      <c r="L26" s="79">
        <v>8184202</v>
      </c>
      <c r="M26" s="57"/>
      <c r="N26" s="57"/>
      <c r="O26" s="80">
        <f t="shared" si="26"/>
        <v>0.47058823529411764</v>
      </c>
      <c r="P26" s="81">
        <f t="shared" si="27"/>
        <v>1.0502172967279557</v>
      </c>
      <c r="Q26" s="82">
        <f t="shared" si="13"/>
        <v>1.222892548508071E-4</v>
      </c>
      <c r="R26" s="83">
        <f t="shared" si="14"/>
        <v>1.1644185944357423E-4</v>
      </c>
      <c r="S26" s="84">
        <f t="shared" si="15"/>
        <v>0</v>
      </c>
      <c r="T26" s="85">
        <f>5*R26/(1+5*(1-O26)*R26)</f>
        <v>5.8202989904338072E-4</v>
      </c>
      <c r="U26" s="86">
        <f>U25*(1-T25)</f>
        <v>99728.183697936736</v>
      </c>
      <c r="V26" s="86">
        <f>5*U26*((1-T26)+O26*T26)</f>
        <v>498487.27053021145</v>
      </c>
      <c r="W26" s="87">
        <f>SUM(V26:V$42)</f>
        <v>8218411.1371826734</v>
      </c>
      <c r="X26" s="88">
        <f t="shared" si="0"/>
        <v>498487.27053021145</v>
      </c>
      <c r="Y26" s="86">
        <f>SUM(X26:X$42)</f>
        <v>7917116.4086463284</v>
      </c>
      <c r="Z26" s="86">
        <f t="shared" si="1"/>
        <v>0</v>
      </c>
      <c r="AA26" s="87">
        <f>SUM(Z26:Z$42)</f>
        <v>301294.72853634658</v>
      </c>
      <c r="AB26" s="80">
        <f t="shared" si="2"/>
        <v>82.408110049162588</v>
      </c>
      <c r="AC26" s="81">
        <f t="shared" si="3"/>
        <v>79.386950760340824</v>
      </c>
      <c r="AD26" s="89">
        <f t="shared" si="16"/>
        <v>96.333905380162932</v>
      </c>
      <c r="AE26" s="81">
        <f t="shared" si="4"/>
        <v>3.021159288821782</v>
      </c>
      <c r="AF26" s="90">
        <f t="shared" si="17"/>
        <v>3.6660946198370952</v>
      </c>
      <c r="AH26" s="91">
        <f>IF(D26=0,0,T26*T26*(1-T26)/D26)</f>
        <v>1.1285387854277213E-7</v>
      </c>
      <c r="AI26" s="92">
        <f t="shared" si="18"/>
        <v>0</v>
      </c>
      <c r="AJ26" s="92">
        <f>U26*U26*((1-O26)*5+AB27)^2*AH26</f>
        <v>7201728.6922833333</v>
      </c>
      <c r="AK26" s="92">
        <f>SUM(AJ26:AJ$42)/U26/U26</f>
        <v>1.6107224317914181E-2</v>
      </c>
      <c r="AL26" s="92">
        <f>U26*U26*((1-O26)*5*(1-S26)+AC27)^2*AH26+V26*V26*AI26</f>
        <v>6668420.9450618355</v>
      </c>
      <c r="AM26" s="92">
        <f>SUM(AL26:AL$42)/U26/U26</f>
        <v>1.272982118777592E-2</v>
      </c>
      <c r="AN26" s="92">
        <f>U26*U26*((1-O26)*5*S26+AE27)^2*AH26+V26*V26*AI26</f>
        <v>10256.643201965524</v>
      </c>
      <c r="AO26" s="93">
        <f>SUM(AN26:AN$42)/U26/U26</f>
        <v>6.5524309481276074E-4</v>
      </c>
      <c r="AP26" s="80">
        <f t="shared" si="5"/>
        <v>82.159358138738369</v>
      </c>
      <c r="AQ26" s="81">
        <f t="shared" si="6"/>
        <v>82.656861959586806</v>
      </c>
      <c r="AR26" s="81">
        <f t="shared" si="7"/>
        <v>79.165810802226147</v>
      </c>
      <c r="AS26" s="81">
        <f t="shared" si="8"/>
        <v>79.6080907184555</v>
      </c>
      <c r="AT26" s="81">
        <f t="shared" si="9"/>
        <v>2.9709877642980773</v>
      </c>
      <c r="AU26" s="94">
        <f t="shared" si="10"/>
        <v>3.0713308133454866</v>
      </c>
    </row>
    <row r="27" spans="1:47" ht="14.45" customHeight="1" x14ac:dyDescent="0.15">
      <c r="A27" s="128"/>
      <c r="B27" s="73" t="s">
        <v>70</v>
      </c>
      <c r="C27" s="129">
        <v>26043</v>
      </c>
      <c r="D27" s="75">
        <v>2</v>
      </c>
      <c r="E27" s="75">
        <v>26043</v>
      </c>
      <c r="F27" s="130">
        <v>0</v>
      </c>
      <c r="G27" s="77" t="s">
        <v>70</v>
      </c>
      <c r="H27" s="75">
        <v>2765000</v>
      </c>
      <c r="I27" s="75">
        <v>183</v>
      </c>
      <c r="J27" s="78">
        <v>10</v>
      </c>
      <c r="K27" s="75">
        <v>99693</v>
      </c>
      <c r="L27" s="79">
        <v>7685657</v>
      </c>
      <c r="M27" s="57"/>
      <c r="N27" s="57"/>
      <c r="O27" s="80">
        <f t="shared" si="26"/>
        <v>0.50624999999999998</v>
      </c>
      <c r="P27" s="81">
        <f t="shared" si="27"/>
        <v>1.030793829113924</v>
      </c>
      <c r="Q27" s="82">
        <f t="shared" si="13"/>
        <v>7.6796068041316289E-5</v>
      </c>
      <c r="R27" s="83">
        <f t="shared" si="14"/>
        <v>7.4501870182256137E-5</v>
      </c>
      <c r="S27" s="84">
        <f t="shared" si="15"/>
        <v>0</v>
      </c>
      <c r="T27" s="85">
        <f t="shared" ref="T27:T40" si="28">5*R27/(1+5*(1-O27)*R27)</f>
        <v>3.7244084917241026E-4</v>
      </c>
      <c r="U27" s="86">
        <f t="shared" ref="U27:U41" si="29">U26*(1-T26)</f>
        <v>99670.13891324724</v>
      </c>
      <c r="V27" s="86">
        <f t="shared" ref="V27:V40" si="30">5*U27*((1-T27)+O27*T27)</f>
        <v>498259.05152677547</v>
      </c>
      <c r="W27" s="87">
        <f>SUM(V27:V$42)</f>
        <v>7719923.8666524626</v>
      </c>
      <c r="X27" s="88">
        <f t="shared" si="0"/>
        <v>498259.05152677547</v>
      </c>
      <c r="Y27" s="86">
        <f>SUM(X27:X$42)</f>
        <v>7418629.1381161166</v>
      </c>
      <c r="Z27" s="86">
        <f t="shared" si="1"/>
        <v>0</v>
      </c>
      <c r="AA27" s="87">
        <f>SUM(Z27:Z$42)</f>
        <v>301294.72853634658</v>
      </c>
      <c r="AB27" s="80">
        <f t="shared" si="2"/>
        <v>77.454731686206188</v>
      </c>
      <c r="AC27" s="81">
        <f t="shared" si="3"/>
        <v>74.431812968308208</v>
      </c>
      <c r="AD27" s="89">
        <f t="shared" si="16"/>
        <v>96.097180053318382</v>
      </c>
      <c r="AE27" s="81">
        <f t="shared" si="4"/>
        <v>3.0229187178979768</v>
      </c>
      <c r="AF27" s="90">
        <f t="shared" si="17"/>
        <v>3.9028199466816105</v>
      </c>
      <c r="AH27" s="91">
        <f t="shared" ref="AH27:AH40" si="31">IF(D27=0,0,T27*T27*(1-T27)/D27)</f>
        <v>6.9330262023936182E-8</v>
      </c>
      <c r="AI27" s="92">
        <f t="shared" si="18"/>
        <v>0</v>
      </c>
      <c r="AJ27" s="92">
        <f t="shared" ref="AJ27:AJ40" si="32">U27*U27*((1-O27)*5+AB28)^2*AH27</f>
        <v>3869122.0403175214</v>
      </c>
      <c r="AK27" s="92">
        <f>SUM(AJ27:AJ$42)/U27/U27</f>
        <v>1.5401042850907565E-2</v>
      </c>
      <c r="AL27" s="92">
        <f t="shared" ref="AL27:AL40" si="33">U27*U27*((1-O27)*5*(1-S27)+AC28)^2*AH27+V27*V27*AI27</f>
        <v>3563207.457319452</v>
      </c>
      <c r="AM27" s="92">
        <f>SUM(AL27:AL$42)/U27/U27</f>
        <v>1.2073389144729222E-2</v>
      </c>
      <c r="AN27" s="92">
        <f t="shared" ref="AN27:AN40" si="34">U27*U27*((1-O27)*5*S27+AE28)^2*AH27+V27*V27*AI27</f>
        <v>6298.3888040873735</v>
      </c>
      <c r="AO27" s="93">
        <f>SUM(AN27:AN$42)/U27/U27</f>
        <v>6.5497403889940215E-4</v>
      </c>
      <c r="AP27" s="80">
        <f t="shared" si="5"/>
        <v>77.21149384742273</v>
      </c>
      <c r="AQ27" s="81">
        <f t="shared" si="6"/>
        <v>77.697969524989645</v>
      </c>
      <c r="AR27" s="81">
        <f t="shared" si="7"/>
        <v>74.216450177328909</v>
      </c>
      <c r="AS27" s="81">
        <f t="shared" si="8"/>
        <v>74.647175759287506</v>
      </c>
      <c r="AT27" s="81">
        <f t="shared" si="9"/>
        <v>2.9727574951473708</v>
      </c>
      <c r="AU27" s="94">
        <f t="shared" si="10"/>
        <v>3.0730799406485829</v>
      </c>
    </row>
    <row r="28" spans="1:47" ht="14.45" customHeight="1" x14ac:dyDescent="0.15">
      <c r="A28" s="128"/>
      <c r="B28" s="73" t="s">
        <v>71</v>
      </c>
      <c r="C28" s="129">
        <v>26988</v>
      </c>
      <c r="D28" s="75">
        <v>2</v>
      </c>
      <c r="E28" s="75">
        <v>26988</v>
      </c>
      <c r="F28" s="130">
        <v>0</v>
      </c>
      <c r="G28" s="77" t="s">
        <v>71</v>
      </c>
      <c r="H28" s="75">
        <v>2890000</v>
      </c>
      <c r="I28" s="75">
        <v>365</v>
      </c>
      <c r="J28" s="78">
        <v>15</v>
      </c>
      <c r="K28" s="75">
        <v>99661</v>
      </c>
      <c r="L28" s="79">
        <v>7187271</v>
      </c>
      <c r="M28" s="57"/>
      <c r="N28" s="57"/>
      <c r="O28" s="80">
        <f t="shared" si="26"/>
        <v>0.57460317460317467</v>
      </c>
      <c r="P28" s="81">
        <f t="shared" si="27"/>
        <v>0.99869508980062605</v>
      </c>
      <c r="Q28" s="82">
        <f t="shared" si="13"/>
        <v>7.4107010523195488E-5</v>
      </c>
      <c r="R28" s="83">
        <f t="shared" si="14"/>
        <v>7.4203839870675442E-5</v>
      </c>
      <c r="S28" s="84">
        <f t="shared" si="15"/>
        <v>0</v>
      </c>
      <c r="T28" s="85">
        <f t="shared" si="28"/>
        <v>3.7096065048939676E-4</v>
      </c>
      <c r="U28" s="86">
        <f t="shared" si="29"/>
        <v>99633.017682073259</v>
      </c>
      <c r="V28" s="86">
        <f t="shared" si="30"/>
        <v>498086.47522794345</v>
      </c>
      <c r="W28" s="87">
        <f>SUM(V28:V$42)</f>
        <v>7221664.815125687</v>
      </c>
      <c r="X28" s="88">
        <f t="shared" si="0"/>
        <v>498086.47522794345</v>
      </c>
      <c r="Y28" s="86">
        <f>SUM(X28:X$42)</f>
        <v>6920370.0865893411</v>
      </c>
      <c r="Z28" s="86">
        <f t="shared" si="1"/>
        <v>0</v>
      </c>
      <c r="AA28" s="87">
        <f>SUM(Z28:Z$42)</f>
        <v>301294.72853634658</v>
      </c>
      <c r="AB28" s="80">
        <f t="shared" si="2"/>
        <v>72.48264664802042</v>
      </c>
      <c r="AC28" s="81">
        <f t="shared" si="3"/>
        <v>69.458601652236283</v>
      </c>
      <c r="AD28" s="89">
        <f t="shared" si="16"/>
        <v>95.827904835664924</v>
      </c>
      <c r="AE28" s="81">
        <f t="shared" si="4"/>
        <v>3.0240449957841422</v>
      </c>
      <c r="AF28" s="90">
        <f t="shared" si="17"/>
        <v>4.1720951643350785</v>
      </c>
      <c r="AH28" s="91">
        <f t="shared" si="31"/>
        <v>6.8780377823555539E-8</v>
      </c>
      <c r="AI28" s="92">
        <f t="shared" si="18"/>
        <v>0</v>
      </c>
      <c r="AJ28" s="92">
        <f t="shared" si="32"/>
        <v>3310793.2297439962</v>
      </c>
      <c r="AK28" s="92">
        <f>SUM(AJ28:AJ$42)/U28/U28</f>
        <v>1.5022753506020625E-2</v>
      </c>
      <c r="AL28" s="92">
        <f t="shared" si="33"/>
        <v>3029380.6538092028</v>
      </c>
      <c r="AM28" s="92">
        <f>SUM(AL28:AL$42)/U28/U28</f>
        <v>1.1723436936893516E-2</v>
      </c>
      <c r="AN28" s="92">
        <f t="shared" si="34"/>
        <v>6248.4154255705207</v>
      </c>
      <c r="AO28" s="93">
        <f>SUM(AN28:AN$42)/U28/U28</f>
        <v>6.5482770252052209E-4</v>
      </c>
      <c r="AP28" s="80">
        <f t="shared" si="5"/>
        <v>72.242414656252606</v>
      </c>
      <c r="AQ28" s="81">
        <f t="shared" si="6"/>
        <v>72.722878639788235</v>
      </c>
      <c r="AR28" s="81">
        <f t="shared" si="7"/>
        <v>69.246383002403689</v>
      </c>
      <c r="AS28" s="81">
        <f t="shared" si="8"/>
        <v>69.670820302068876</v>
      </c>
      <c r="AT28" s="81">
        <f t="shared" si="9"/>
        <v>2.9738893769363717</v>
      </c>
      <c r="AU28" s="94">
        <f t="shared" si="10"/>
        <v>3.0742006146319127</v>
      </c>
    </row>
    <row r="29" spans="1:47" ht="14.45" customHeight="1" x14ac:dyDescent="0.15">
      <c r="A29" s="128"/>
      <c r="B29" s="73" t="s">
        <v>72</v>
      </c>
      <c r="C29" s="129">
        <v>21432</v>
      </c>
      <c r="D29" s="75">
        <v>5</v>
      </c>
      <c r="E29" s="75">
        <v>21432</v>
      </c>
      <c r="F29" s="130">
        <v>0</v>
      </c>
      <c r="G29" s="77" t="s">
        <v>72</v>
      </c>
      <c r="H29" s="75">
        <v>2913000</v>
      </c>
      <c r="I29" s="75">
        <v>655</v>
      </c>
      <c r="J29" s="78">
        <v>20</v>
      </c>
      <c r="K29" s="75">
        <v>99598</v>
      </c>
      <c r="L29" s="79">
        <v>6689100</v>
      </c>
      <c r="M29" s="57"/>
      <c r="N29" s="57"/>
      <c r="O29" s="80">
        <f t="shared" si="26"/>
        <v>0.52857142857142858</v>
      </c>
      <c r="P29" s="81">
        <f t="shared" si="27"/>
        <v>0.99924761536952578</v>
      </c>
      <c r="Q29" s="82">
        <f t="shared" si="13"/>
        <v>2.3329600597237775E-4</v>
      </c>
      <c r="R29" s="83">
        <f t="shared" si="14"/>
        <v>2.3347166646587789E-4</v>
      </c>
      <c r="S29" s="84">
        <f t="shared" si="15"/>
        <v>0</v>
      </c>
      <c r="T29" s="85">
        <f t="shared" si="28"/>
        <v>1.1667162579552296E-3</v>
      </c>
      <c r="U29" s="86">
        <f t="shared" si="29"/>
        <v>99596.057753023706</v>
      </c>
      <c r="V29" s="86">
        <f t="shared" si="30"/>
        <v>497706.38796414086</v>
      </c>
      <c r="W29" s="87">
        <f>SUM(V29:V$42)</f>
        <v>6723578.3398977434</v>
      </c>
      <c r="X29" s="88">
        <f t="shared" si="0"/>
        <v>497706.38796414086</v>
      </c>
      <c r="Y29" s="86">
        <f>SUM(X29:X$42)</f>
        <v>6422283.6113613974</v>
      </c>
      <c r="Z29" s="86">
        <f t="shared" si="1"/>
        <v>0</v>
      </c>
      <c r="AA29" s="87">
        <f>SUM(Z29:Z$42)</f>
        <v>301294.72853634658</v>
      </c>
      <c r="AB29" s="80">
        <f t="shared" si="2"/>
        <v>67.508478664594705</v>
      </c>
      <c r="AC29" s="81">
        <f t="shared" si="3"/>
        <v>64.483311450813105</v>
      </c>
      <c r="AD29" s="89">
        <f t="shared" si="16"/>
        <v>95.518833673009183</v>
      </c>
      <c r="AE29" s="81">
        <f t="shared" si="4"/>
        <v>3.0251672137816055</v>
      </c>
      <c r="AF29" s="90">
        <f t="shared" si="17"/>
        <v>4.4811663269908282</v>
      </c>
      <c r="AH29" s="91">
        <f t="shared" si="31"/>
        <v>2.7192773222154428E-7</v>
      </c>
      <c r="AI29" s="92">
        <f t="shared" si="18"/>
        <v>0</v>
      </c>
      <c r="AJ29" s="92">
        <f t="shared" si="32"/>
        <v>11375773.949259829</v>
      </c>
      <c r="AK29" s="92">
        <f>SUM(AJ29:AJ$42)/U29/U29</f>
        <v>1.4700135056024105E-2</v>
      </c>
      <c r="AL29" s="92">
        <f t="shared" si="33"/>
        <v>10339442.657521188</v>
      </c>
      <c r="AM29" s="92">
        <f>SUM(AL29:AL$42)/U29/U29</f>
        <v>1.1426739282350972E-2</v>
      </c>
      <c r="AN29" s="92">
        <f t="shared" si="34"/>
        <v>24742.897496072343</v>
      </c>
      <c r="AO29" s="93">
        <f>SUM(AN29:AN$42)/U29/U29</f>
        <v>6.5468388331877466E-4</v>
      </c>
      <c r="AP29" s="80">
        <f t="shared" si="5"/>
        <v>67.27084020215392</v>
      </c>
      <c r="AQ29" s="81">
        <f t="shared" si="6"/>
        <v>67.74611712703549</v>
      </c>
      <c r="AR29" s="81">
        <f t="shared" si="7"/>
        <v>64.273795433222375</v>
      </c>
      <c r="AS29" s="81">
        <f t="shared" si="8"/>
        <v>64.692827468403834</v>
      </c>
      <c r="AT29" s="81">
        <f t="shared" si="9"/>
        <v>2.975017103052342</v>
      </c>
      <c r="AU29" s="94">
        <f t="shared" si="10"/>
        <v>3.0753173245108689</v>
      </c>
    </row>
    <row r="30" spans="1:47" ht="14.45" customHeight="1" x14ac:dyDescent="0.15">
      <c r="A30" s="128"/>
      <c r="B30" s="73" t="s">
        <v>73</v>
      </c>
      <c r="C30" s="129">
        <v>24810</v>
      </c>
      <c r="D30" s="75">
        <v>0</v>
      </c>
      <c r="E30" s="75">
        <v>24810</v>
      </c>
      <c r="F30" s="130">
        <v>0</v>
      </c>
      <c r="G30" s="77" t="s">
        <v>73</v>
      </c>
      <c r="H30" s="75">
        <v>3158000</v>
      </c>
      <c r="I30" s="75">
        <v>912</v>
      </c>
      <c r="J30" s="78">
        <v>25</v>
      </c>
      <c r="K30" s="75">
        <v>99486</v>
      </c>
      <c r="L30" s="79">
        <v>6191374</v>
      </c>
      <c r="M30" s="57"/>
      <c r="N30" s="57"/>
      <c r="O30" s="80">
        <f t="shared" si="26"/>
        <v>0.51805555555555549</v>
      </c>
      <c r="P30" s="81">
        <f t="shared" si="27"/>
        <v>0.99689434241080854</v>
      </c>
      <c r="Q30" s="82">
        <f t="shared" si="13"/>
        <v>0</v>
      </c>
      <c r="R30" s="83">
        <f t="shared" si="14"/>
        <v>0</v>
      </c>
      <c r="S30" s="84">
        <f t="shared" si="15"/>
        <v>0</v>
      </c>
      <c r="T30" s="85">
        <f t="shared" si="28"/>
        <v>0</v>
      </c>
      <c r="U30" s="86">
        <f t="shared" si="29"/>
        <v>99479.857413214995</v>
      </c>
      <c r="V30" s="86">
        <f t="shared" si="30"/>
        <v>497399.28706607496</v>
      </c>
      <c r="W30" s="87">
        <f>SUM(V30:V$42)</f>
        <v>6225871.9519336028</v>
      </c>
      <c r="X30" s="88">
        <f t="shared" si="0"/>
        <v>497399.28706607496</v>
      </c>
      <c r="Y30" s="86">
        <f>SUM(X30:X$42)</f>
        <v>5924577.2233972568</v>
      </c>
      <c r="Z30" s="86">
        <f t="shared" si="1"/>
        <v>0</v>
      </c>
      <c r="AA30" s="87">
        <f>SUM(Z30:Z$42)</f>
        <v>301294.72853634658</v>
      </c>
      <c r="AB30" s="80">
        <f t="shared" si="2"/>
        <v>62.584246839768312</v>
      </c>
      <c r="AC30" s="81">
        <f t="shared" si="3"/>
        <v>59.555545991466516</v>
      </c>
      <c r="AD30" s="89">
        <f t="shared" si="16"/>
        <v>95.160601906649049</v>
      </c>
      <c r="AE30" s="81">
        <f t="shared" si="4"/>
        <v>3.0287008483018023</v>
      </c>
      <c r="AF30" s="90">
        <f t="shared" si="17"/>
        <v>4.8393980933509537</v>
      </c>
      <c r="AH30" s="91">
        <f t="shared" si="31"/>
        <v>0</v>
      </c>
      <c r="AI30" s="92">
        <f t="shared" si="18"/>
        <v>0</v>
      </c>
      <c r="AJ30" s="92">
        <f t="shared" si="32"/>
        <v>0</v>
      </c>
      <c r="AK30" s="92">
        <f>SUM(AJ30:AJ$42)/U30/U30</f>
        <v>1.3584992534006203E-2</v>
      </c>
      <c r="AL30" s="92">
        <f t="shared" si="33"/>
        <v>0</v>
      </c>
      <c r="AM30" s="92">
        <f>SUM(AL30:AL$42)/U30/U30</f>
        <v>1.0408664803167949E-2</v>
      </c>
      <c r="AN30" s="92">
        <f t="shared" si="34"/>
        <v>0</v>
      </c>
      <c r="AO30" s="93">
        <f>SUM(AN30:AN$42)/U30/U30</f>
        <v>6.5371399001923325E-4</v>
      </c>
      <c r="AP30" s="80">
        <f t="shared" si="5"/>
        <v>62.355799674501071</v>
      </c>
      <c r="AQ30" s="81">
        <f t="shared" si="6"/>
        <v>62.812694005035553</v>
      </c>
      <c r="AR30" s="81">
        <f t="shared" si="7"/>
        <v>59.355581177792082</v>
      </c>
      <c r="AS30" s="81">
        <f t="shared" si="8"/>
        <v>59.75551080514095</v>
      </c>
      <c r="AT30" s="81">
        <f t="shared" si="9"/>
        <v>2.9785878992361376</v>
      </c>
      <c r="AU30" s="94">
        <f t="shared" si="10"/>
        <v>3.078813797367467</v>
      </c>
    </row>
    <row r="31" spans="1:47" ht="14.45" customHeight="1" x14ac:dyDescent="0.15">
      <c r="A31" s="128"/>
      <c r="B31" s="73" t="s">
        <v>74</v>
      </c>
      <c r="C31" s="129">
        <v>30510</v>
      </c>
      <c r="D31" s="75">
        <v>6</v>
      </c>
      <c r="E31" s="75">
        <v>30510</v>
      </c>
      <c r="F31" s="130">
        <v>0</v>
      </c>
      <c r="G31" s="77" t="s">
        <v>74</v>
      </c>
      <c r="H31" s="75">
        <v>3576000</v>
      </c>
      <c r="I31" s="75">
        <v>1322</v>
      </c>
      <c r="J31" s="78">
        <v>30</v>
      </c>
      <c r="K31" s="75">
        <v>99342</v>
      </c>
      <c r="L31" s="79">
        <v>5694291</v>
      </c>
      <c r="M31" s="57"/>
      <c r="N31" s="57"/>
      <c r="O31" s="80">
        <f t="shared" si="26"/>
        <v>0.51933701657458564</v>
      </c>
      <c r="P31" s="81">
        <f t="shared" si="27"/>
        <v>1.0136260614038339</v>
      </c>
      <c r="Q31" s="82">
        <f t="shared" si="13"/>
        <v>1.9665683382497542E-4</v>
      </c>
      <c r="R31" s="83">
        <f t="shared" si="14"/>
        <v>1.9401319807485327E-4</v>
      </c>
      <c r="S31" s="84">
        <f t="shared" si="15"/>
        <v>0</v>
      </c>
      <c r="T31" s="85">
        <f t="shared" si="28"/>
        <v>9.6961388384184447E-4</v>
      </c>
      <c r="U31" s="86">
        <f t="shared" si="29"/>
        <v>99479.857413214995</v>
      </c>
      <c r="V31" s="86">
        <f t="shared" si="30"/>
        <v>497167.4703967598</v>
      </c>
      <c r="W31" s="87">
        <f>SUM(V31:V$42)</f>
        <v>5728472.6648675278</v>
      </c>
      <c r="X31" s="88">
        <f t="shared" si="0"/>
        <v>497167.4703967598</v>
      </c>
      <c r="Y31" s="86">
        <f>SUM(X31:X$42)</f>
        <v>5427177.9363311818</v>
      </c>
      <c r="Z31" s="86">
        <f t="shared" si="1"/>
        <v>0</v>
      </c>
      <c r="AA31" s="87">
        <f>SUM(Z31:Z$42)</f>
        <v>301294.72853634658</v>
      </c>
      <c r="AB31" s="80">
        <f t="shared" si="2"/>
        <v>57.584246839768312</v>
      </c>
      <c r="AC31" s="81">
        <f t="shared" si="3"/>
        <v>54.555545991466516</v>
      </c>
      <c r="AD31" s="89">
        <f t="shared" si="16"/>
        <v>94.740400344682214</v>
      </c>
      <c r="AE31" s="81">
        <f t="shared" si="4"/>
        <v>3.0287008483018023</v>
      </c>
      <c r="AF31" s="90">
        <f t="shared" si="17"/>
        <v>5.2595996553177944</v>
      </c>
      <c r="AH31" s="91">
        <f t="shared" si="31"/>
        <v>1.5653991669919394E-7</v>
      </c>
      <c r="AI31" s="92">
        <f t="shared" si="18"/>
        <v>0</v>
      </c>
      <c r="AJ31" s="92">
        <f t="shared" si="32"/>
        <v>4693177.031735085</v>
      </c>
      <c r="AK31" s="92">
        <f>SUM(AJ31:AJ$42)/U31/U31</f>
        <v>1.3584992534006203E-2</v>
      </c>
      <c r="AL31" s="92">
        <f t="shared" si="33"/>
        <v>4190417.1071910067</v>
      </c>
      <c r="AM31" s="92">
        <f>SUM(AL31:AL$42)/U31/U31</f>
        <v>1.0408664803167949E-2</v>
      </c>
      <c r="AN31" s="92">
        <f t="shared" si="34"/>
        <v>14238.058384819391</v>
      </c>
      <c r="AO31" s="93">
        <f>SUM(AN31:AN$42)/U31/U31</f>
        <v>6.5371399001923325E-4</v>
      </c>
      <c r="AP31" s="80">
        <f t="shared" si="5"/>
        <v>57.355799674501071</v>
      </c>
      <c r="AQ31" s="81">
        <f t="shared" si="6"/>
        <v>57.812694005035553</v>
      </c>
      <c r="AR31" s="81">
        <f t="shared" si="7"/>
        <v>54.355581177792082</v>
      </c>
      <c r="AS31" s="81">
        <f t="shared" si="8"/>
        <v>54.75551080514095</v>
      </c>
      <c r="AT31" s="81">
        <f t="shared" si="9"/>
        <v>2.9785878992361376</v>
      </c>
      <c r="AU31" s="94">
        <f t="shared" si="10"/>
        <v>3.078813797367467</v>
      </c>
    </row>
    <row r="32" spans="1:47" ht="14.45" customHeight="1" x14ac:dyDescent="0.15">
      <c r="A32" s="128"/>
      <c r="B32" s="73" t="s">
        <v>75</v>
      </c>
      <c r="C32" s="129">
        <v>34599</v>
      </c>
      <c r="D32" s="75">
        <v>15</v>
      </c>
      <c r="E32" s="75">
        <v>34599</v>
      </c>
      <c r="F32" s="130">
        <v>0</v>
      </c>
      <c r="G32" s="77" t="s">
        <v>75</v>
      </c>
      <c r="H32" s="75">
        <v>4185000</v>
      </c>
      <c r="I32" s="75">
        <v>2164</v>
      </c>
      <c r="J32" s="78">
        <v>35</v>
      </c>
      <c r="K32" s="75">
        <v>99161</v>
      </c>
      <c r="L32" s="79">
        <v>5198016</v>
      </c>
      <c r="M32" s="57"/>
      <c r="N32" s="57"/>
      <c r="O32" s="80">
        <f t="shared" si="26"/>
        <v>0.5346613545816733</v>
      </c>
      <c r="P32" s="81">
        <f t="shared" si="27"/>
        <v>1.020204243004089</v>
      </c>
      <c r="Q32" s="82">
        <f t="shared" si="13"/>
        <v>4.3353854157634613E-4</v>
      </c>
      <c r="R32" s="83">
        <f t="shared" si="14"/>
        <v>4.2495269407991326E-4</v>
      </c>
      <c r="S32" s="84">
        <f t="shared" si="15"/>
        <v>0</v>
      </c>
      <c r="T32" s="85">
        <f t="shared" si="28"/>
        <v>2.1226647184434439E-3</v>
      </c>
      <c r="U32" s="86">
        <f t="shared" si="29"/>
        <v>99383.400362304528</v>
      </c>
      <c r="V32" s="86">
        <f t="shared" si="30"/>
        <v>496426.16810503643</v>
      </c>
      <c r="W32" s="87">
        <f>SUM(V32:V$42)</f>
        <v>5231305.1944707679</v>
      </c>
      <c r="X32" s="88">
        <f t="shared" si="0"/>
        <v>496426.16810503643</v>
      </c>
      <c r="Y32" s="86">
        <f>SUM(X32:X$42)</f>
        <v>4930010.4659344219</v>
      </c>
      <c r="Z32" s="86">
        <f t="shared" si="1"/>
        <v>0</v>
      </c>
      <c r="AA32" s="87">
        <f>SUM(Z32:Z$42)</f>
        <v>301294.72853634658</v>
      </c>
      <c r="AB32" s="80">
        <f t="shared" si="2"/>
        <v>52.637615289876592</v>
      </c>
      <c r="AC32" s="81">
        <f t="shared" si="3"/>
        <v>49.605974920982305</v>
      </c>
      <c r="AD32" s="89">
        <f t="shared" si="16"/>
        <v>94.240543854050046</v>
      </c>
      <c r="AE32" s="81">
        <f t="shared" si="4"/>
        <v>3.0316403688942977</v>
      </c>
      <c r="AF32" s="90">
        <f t="shared" si="17"/>
        <v>5.7594561459499687</v>
      </c>
      <c r="AH32" s="91">
        <f t="shared" si="31"/>
        <v>2.9974276032088929E-7</v>
      </c>
      <c r="AI32" s="92">
        <f t="shared" si="18"/>
        <v>0</v>
      </c>
      <c r="AJ32" s="92">
        <f t="shared" si="32"/>
        <v>7422357.2117013969</v>
      </c>
      <c r="AK32" s="92">
        <f>SUM(AJ32:AJ$42)/U32/U32</f>
        <v>1.3136215995303914E-2</v>
      </c>
      <c r="AL32" s="92">
        <f t="shared" si="33"/>
        <v>6548963.6283877231</v>
      </c>
      <c r="AM32" s="92">
        <f>SUM(AL32:AL$42)/U32/U32</f>
        <v>1.0004621448796422E-2</v>
      </c>
      <c r="AN32" s="92">
        <f t="shared" si="34"/>
        <v>27326.087317048707</v>
      </c>
      <c r="AO32" s="93">
        <f>SUM(AN32:AN$42)/U32/U32</f>
        <v>6.5354200855264287E-4</v>
      </c>
      <c r="AP32" s="80">
        <f t="shared" si="5"/>
        <v>52.412973158103497</v>
      </c>
      <c r="AQ32" s="81">
        <f t="shared" si="6"/>
        <v>52.862257421649687</v>
      </c>
      <c r="AR32" s="81">
        <f t="shared" si="7"/>
        <v>49.409929636015548</v>
      </c>
      <c r="AS32" s="81">
        <f t="shared" si="8"/>
        <v>49.802020205949063</v>
      </c>
      <c r="AT32" s="81">
        <f t="shared" si="9"/>
        <v>2.98153401221118</v>
      </c>
      <c r="AU32" s="94">
        <f t="shared" si="10"/>
        <v>3.0817467255774154</v>
      </c>
    </row>
    <row r="33" spans="1:47" ht="14.45" customHeight="1" x14ac:dyDescent="0.15">
      <c r="A33" s="128"/>
      <c r="B33" s="73" t="s">
        <v>76</v>
      </c>
      <c r="C33" s="129">
        <v>35696</v>
      </c>
      <c r="D33" s="75">
        <v>29</v>
      </c>
      <c r="E33" s="75">
        <v>35696</v>
      </c>
      <c r="F33" s="130">
        <v>0</v>
      </c>
      <c r="G33" s="77" t="s">
        <v>76</v>
      </c>
      <c r="H33" s="75">
        <v>4747000</v>
      </c>
      <c r="I33" s="75">
        <v>3616</v>
      </c>
      <c r="J33" s="78">
        <v>40</v>
      </c>
      <c r="K33" s="75">
        <v>98910</v>
      </c>
      <c r="L33" s="79">
        <v>4702795</v>
      </c>
      <c r="M33" s="57"/>
      <c r="N33" s="57"/>
      <c r="O33" s="80">
        <f t="shared" si="26"/>
        <v>0.53175853018372699</v>
      </c>
      <c r="P33" s="81">
        <f t="shared" si="27"/>
        <v>0.98698463955961691</v>
      </c>
      <c r="Q33" s="82">
        <f t="shared" si="13"/>
        <v>8.1241595696996858E-4</v>
      </c>
      <c r="R33" s="83">
        <f t="shared" si="14"/>
        <v>8.2312928125452978E-4</v>
      </c>
      <c r="S33" s="84">
        <f t="shared" si="15"/>
        <v>0</v>
      </c>
      <c r="T33" s="85">
        <f t="shared" si="28"/>
        <v>4.1077303321011577E-3</v>
      </c>
      <c r="U33" s="86">
        <f t="shared" si="29"/>
        <v>99172.442724756518</v>
      </c>
      <c r="V33" s="86">
        <f t="shared" si="30"/>
        <v>494908.46743803081</v>
      </c>
      <c r="W33" s="87">
        <f>SUM(V33:V$42)</f>
        <v>4734879.0263657318</v>
      </c>
      <c r="X33" s="88">
        <f t="shared" si="0"/>
        <v>494908.46743803081</v>
      </c>
      <c r="Y33" s="86">
        <f>SUM(X33:X$42)</f>
        <v>4433584.2978293849</v>
      </c>
      <c r="Z33" s="86">
        <f t="shared" si="1"/>
        <v>0</v>
      </c>
      <c r="AA33" s="87">
        <f>SUM(Z33:Z$42)</f>
        <v>301294.72853634658</v>
      </c>
      <c r="AB33" s="80">
        <f t="shared" si="2"/>
        <v>47.743898368087279</v>
      </c>
      <c r="AC33" s="81">
        <f t="shared" si="3"/>
        <v>44.705809154407618</v>
      </c>
      <c r="AD33" s="89">
        <f t="shared" si="16"/>
        <v>93.636696378965226</v>
      </c>
      <c r="AE33" s="81">
        <f t="shared" si="4"/>
        <v>3.0380892136796591</v>
      </c>
      <c r="AF33" s="90">
        <f t="shared" si="17"/>
        <v>6.3633036210347713</v>
      </c>
      <c r="AH33" s="91">
        <f t="shared" si="31"/>
        <v>5.7945299672862937E-7</v>
      </c>
      <c r="AI33" s="92">
        <f t="shared" si="18"/>
        <v>0</v>
      </c>
      <c r="AJ33" s="92">
        <f t="shared" si="32"/>
        <v>11679969.168493852</v>
      </c>
      <c r="AK33" s="92">
        <f>SUM(AJ33:AJ$42)/U33/U33</f>
        <v>1.2437486858299531E-2</v>
      </c>
      <c r="AL33" s="92">
        <f t="shared" si="33"/>
        <v>10158881.216538051</v>
      </c>
      <c r="AM33" s="92">
        <f>SUM(AL33:AL$42)/U33/U33</f>
        <v>9.3813582801916297E-3</v>
      </c>
      <c r="AN33" s="92">
        <f t="shared" si="34"/>
        <v>53036.707727513465</v>
      </c>
      <c r="AO33" s="93">
        <f>SUM(AN33:AN$42)/U33/U33</f>
        <v>6.5354696452695209E-4</v>
      </c>
      <c r="AP33" s="80">
        <f t="shared" si="5"/>
        <v>47.525312344941142</v>
      </c>
      <c r="AQ33" s="81">
        <f t="shared" si="6"/>
        <v>47.962484391233417</v>
      </c>
      <c r="AR33" s="81">
        <f t="shared" si="7"/>
        <v>44.515968626676617</v>
      </c>
      <c r="AS33" s="81">
        <f t="shared" si="8"/>
        <v>44.895649682138618</v>
      </c>
      <c r="AT33" s="81">
        <f t="shared" si="9"/>
        <v>2.9879826670123149</v>
      </c>
      <c r="AU33" s="94">
        <f t="shared" si="10"/>
        <v>3.0881957603470034</v>
      </c>
    </row>
    <row r="34" spans="1:47" ht="14.45" customHeight="1" x14ac:dyDescent="0.15">
      <c r="A34" s="128"/>
      <c r="B34" s="73" t="s">
        <v>77</v>
      </c>
      <c r="C34" s="129">
        <v>33024</v>
      </c>
      <c r="D34" s="75">
        <v>31</v>
      </c>
      <c r="E34" s="75">
        <v>33024</v>
      </c>
      <c r="F34" s="130">
        <v>38.700000000000003</v>
      </c>
      <c r="G34" s="77" t="s">
        <v>77</v>
      </c>
      <c r="H34" s="75">
        <v>4199000</v>
      </c>
      <c r="I34" s="75">
        <v>4976</v>
      </c>
      <c r="J34" s="78">
        <v>45</v>
      </c>
      <c r="K34" s="75">
        <v>98529</v>
      </c>
      <c r="L34" s="79">
        <v>4209137</v>
      </c>
      <c r="M34" s="57"/>
      <c r="N34" s="57"/>
      <c r="O34" s="80">
        <f t="shared" si="26"/>
        <v>0.53538461538461535</v>
      </c>
      <c r="P34" s="81">
        <f t="shared" si="27"/>
        <v>0.9952060771490161</v>
      </c>
      <c r="Q34" s="82">
        <f t="shared" si="13"/>
        <v>9.3871124031007756E-4</v>
      </c>
      <c r="R34" s="83">
        <f t="shared" si="14"/>
        <v>9.4323302667043564E-4</v>
      </c>
      <c r="S34" s="84">
        <f t="shared" si="15"/>
        <v>1.1718750000000002E-3</v>
      </c>
      <c r="T34" s="85">
        <f t="shared" si="28"/>
        <v>4.7058536532867453E-3</v>
      </c>
      <c r="U34" s="86">
        <f t="shared" si="29"/>
        <v>98765.069073667459</v>
      </c>
      <c r="V34" s="86">
        <f t="shared" si="30"/>
        <v>492745.63970481831</v>
      </c>
      <c r="W34" s="87">
        <f>SUM(V34:V$42)</f>
        <v>4239970.5589277009</v>
      </c>
      <c r="X34" s="88">
        <f t="shared" si="0"/>
        <v>492168.20340828924</v>
      </c>
      <c r="Y34" s="86">
        <f>SUM(X34:X$42)</f>
        <v>3938675.8303913539</v>
      </c>
      <c r="Z34" s="86">
        <f t="shared" si="1"/>
        <v>577.43629652908407</v>
      </c>
      <c r="AA34" s="87">
        <f>SUM(Z34:Z$42)</f>
        <v>301294.72853634658</v>
      </c>
      <c r="AB34" s="80">
        <f t="shared" si="2"/>
        <v>42.929859703385283</v>
      </c>
      <c r="AC34" s="81">
        <f t="shared" si="3"/>
        <v>39.879239364005826</v>
      </c>
      <c r="AD34" s="89">
        <f t="shared" si="16"/>
        <v>92.893942909534147</v>
      </c>
      <c r="AE34" s="81">
        <f t="shared" si="4"/>
        <v>3.0506203393794533</v>
      </c>
      <c r="AF34" s="90">
        <f t="shared" si="17"/>
        <v>7.1060570904658542</v>
      </c>
      <c r="AH34" s="91">
        <f t="shared" si="31"/>
        <v>7.1099507100671598E-7</v>
      </c>
      <c r="AI34" s="92">
        <f t="shared" si="18"/>
        <v>3.5443971323412522E-8</v>
      </c>
      <c r="AJ34" s="92">
        <f t="shared" si="32"/>
        <v>11343983.155188141</v>
      </c>
      <c r="AK34" s="92">
        <f>SUM(AJ34:AJ$42)/U34/U34</f>
        <v>1.1342911456685065E-2</v>
      </c>
      <c r="AL34" s="92">
        <f t="shared" si="33"/>
        <v>9699941.3687324487</v>
      </c>
      <c r="AM34" s="92">
        <f>SUM(AL34:AL$42)/U34/U34</f>
        <v>8.4174562489036861E-3</v>
      </c>
      <c r="AN34" s="92">
        <f t="shared" si="34"/>
        <v>73626.654497593481</v>
      </c>
      <c r="AO34" s="93">
        <f>SUM(AN34:AN$42)/U34/U34</f>
        <v>6.5351228759748616E-4</v>
      </c>
      <c r="AP34" s="80">
        <f t="shared" si="5"/>
        <v>42.721113616830344</v>
      </c>
      <c r="AQ34" s="81">
        <f t="shared" si="6"/>
        <v>43.138605789940222</v>
      </c>
      <c r="AR34" s="81">
        <f t="shared" si="7"/>
        <v>39.699415839610971</v>
      </c>
      <c r="AS34" s="81">
        <f t="shared" si="8"/>
        <v>40.059062888400682</v>
      </c>
      <c r="AT34" s="81">
        <f t="shared" si="9"/>
        <v>3.0005151220459809</v>
      </c>
      <c r="AU34" s="94">
        <f t="shared" si="10"/>
        <v>3.1007255567129257</v>
      </c>
    </row>
    <row r="35" spans="1:47" ht="14.45" customHeight="1" x14ac:dyDescent="0.15">
      <c r="A35" s="128"/>
      <c r="B35" s="73" t="s">
        <v>78</v>
      </c>
      <c r="C35" s="129">
        <v>35260</v>
      </c>
      <c r="D35" s="75">
        <v>66</v>
      </c>
      <c r="E35" s="75">
        <v>35260</v>
      </c>
      <c r="F35" s="130">
        <v>38.700000000000003</v>
      </c>
      <c r="G35" s="77" t="s">
        <v>78</v>
      </c>
      <c r="H35" s="75">
        <v>3828000</v>
      </c>
      <c r="I35" s="75">
        <v>6887</v>
      </c>
      <c r="J35" s="78">
        <v>50</v>
      </c>
      <c r="K35" s="75">
        <v>97944</v>
      </c>
      <c r="L35" s="79">
        <v>3717851</v>
      </c>
      <c r="M35" s="57"/>
      <c r="N35" s="57"/>
      <c r="O35" s="80">
        <f t="shared" si="26"/>
        <v>0.53333333333333333</v>
      </c>
      <c r="P35" s="81">
        <f t="shared" si="27"/>
        <v>0.99135126395456608</v>
      </c>
      <c r="Q35" s="82">
        <f t="shared" si="13"/>
        <v>1.8718094157685764E-3</v>
      </c>
      <c r="R35" s="83">
        <f t="shared" si="14"/>
        <v>1.8881394353619969E-3</v>
      </c>
      <c r="S35" s="84">
        <f t="shared" si="15"/>
        <v>1.0975609756097562E-3</v>
      </c>
      <c r="T35" s="85">
        <f t="shared" si="28"/>
        <v>9.3992871258744577E-3</v>
      </c>
      <c r="U35" s="86">
        <f t="shared" si="29"/>
        <v>98300.295112550011</v>
      </c>
      <c r="V35" s="86">
        <f t="shared" si="30"/>
        <v>489345.58593333425</v>
      </c>
      <c r="W35" s="87">
        <f>SUM(V35:V$42)</f>
        <v>3747224.9192228816</v>
      </c>
      <c r="X35" s="88">
        <f t="shared" si="0"/>
        <v>488808.49931462691</v>
      </c>
      <c r="Y35" s="86">
        <f>SUM(X35:X$42)</f>
        <v>3446507.6269830652</v>
      </c>
      <c r="Z35" s="86">
        <f t="shared" si="1"/>
        <v>537.08661870731817</v>
      </c>
      <c r="AA35" s="87">
        <f>SUM(Z35:Z$42)</f>
        <v>300717.2922398175</v>
      </c>
      <c r="AB35" s="80">
        <f t="shared" si="2"/>
        <v>38.120179750553696</v>
      </c>
      <c r="AC35" s="81">
        <f t="shared" si="3"/>
        <v>35.061009969877993</v>
      </c>
      <c r="AD35" s="89">
        <f t="shared" si="16"/>
        <v>91.974933484852556</v>
      </c>
      <c r="AE35" s="81">
        <f t="shared" si="4"/>
        <v>3.0591697806757132</v>
      </c>
      <c r="AF35" s="90">
        <f t="shared" si="17"/>
        <v>8.0250665151474756</v>
      </c>
      <c r="AH35" s="91">
        <f t="shared" si="31"/>
        <v>1.3260030822571506E-6</v>
      </c>
      <c r="AI35" s="92">
        <f t="shared" si="18"/>
        <v>3.1093486543238084E-8</v>
      </c>
      <c r="AJ35" s="92">
        <f t="shared" si="32"/>
        <v>16412527.099608436</v>
      </c>
      <c r="AK35" s="92">
        <f>SUM(AJ35:AJ$42)/U35/U35</f>
        <v>1.0276458834368989E-2</v>
      </c>
      <c r="AL35" s="92">
        <f t="shared" si="33"/>
        <v>13712278.331740664</v>
      </c>
      <c r="AM35" s="92">
        <f>SUM(AL35:AL$42)/U35/U35</f>
        <v>7.4934132571537254E-3</v>
      </c>
      <c r="AN35" s="92">
        <f t="shared" si="34"/>
        <v>129409.89779256511</v>
      </c>
      <c r="AO35" s="93">
        <f>SUM(AN35:AN$42)/U35/U35</f>
        <v>6.5208716261271971E-4</v>
      </c>
      <c r="AP35" s="80">
        <f t="shared" si="5"/>
        <v>37.921488924751117</v>
      </c>
      <c r="AQ35" s="81">
        <f t="shared" si="6"/>
        <v>38.318870576356275</v>
      </c>
      <c r="AR35" s="81">
        <f t="shared" si="7"/>
        <v>34.891343543120421</v>
      </c>
      <c r="AS35" s="81">
        <f t="shared" si="8"/>
        <v>35.230676396635566</v>
      </c>
      <c r="AT35" s="81">
        <f t="shared" si="9"/>
        <v>3.009119225794743</v>
      </c>
      <c r="AU35" s="94">
        <f t="shared" si="10"/>
        <v>3.1092203355566834</v>
      </c>
    </row>
    <row r="36" spans="1:47" ht="14.45" customHeight="1" x14ac:dyDescent="0.15">
      <c r="A36" s="128"/>
      <c r="B36" s="73" t="s">
        <v>79</v>
      </c>
      <c r="C36" s="129">
        <v>40019</v>
      </c>
      <c r="D36" s="75">
        <v>99</v>
      </c>
      <c r="E36" s="75">
        <v>40019</v>
      </c>
      <c r="F36" s="130">
        <v>77.400000000000006</v>
      </c>
      <c r="G36" s="77" t="s">
        <v>79</v>
      </c>
      <c r="H36" s="75">
        <v>3810000</v>
      </c>
      <c r="I36" s="75">
        <v>10038</v>
      </c>
      <c r="J36" s="78">
        <v>55</v>
      </c>
      <c r="K36" s="75">
        <v>97059</v>
      </c>
      <c r="L36" s="79">
        <v>3230196</v>
      </c>
      <c r="M36" s="57"/>
      <c r="N36" s="57"/>
      <c r="O36" s="80">
        <f t="shared" si="26"/>
        <v>0.52539682539682542</v>
      </c>
      <c r="P36" s="81">
        <f t="shared" si="27"/>
        <v>1.0084942694663168</v>
      </c>
      <c r="Q36" s="82">
        <f t="shared" si="13"/>
        <v>2.4738249331567506E-3</v>
      </c>
      <c r="R36" s="83">
        <f t="shared" si="14"/>
        <v>2.4529885871001226E-3</v>
      </c>
      <c r="S36" s="84">
        <f t="shared" si="15"/>
        <v>1.934081311377096E-3</v>
      </c>
      <c r="T36" s="85">
        <f t="shared" si="28"/>
        <v>1.2193962115497807E-2</v>
      </c>
      <c r="U36" s="86">
        <f t="shared" si="29"/>
        <v>97376.342414228959</v>
      </c>
      <c r="V36" s="86">
        <f t="shared" si="30"/>
        <v>484063.98488326295</v>
      </c>
      <c r="W36" s="87">
        <f>SUM(V36:V$42)</f>
        <v>3257879.3332895474</v>
      </c>
      <c r="X36" s="88">
        <f t="shared" si="0"/>
        <v>483127.76577658951</v>
      </c>
      <c r="Y36" s="86">
        <f>SUM(X36:X$42)</f>
        <v>2957699.1276684375</v>
      </c>
      <c r="Z36" s="86">
        <f t="shared" si="1"/>
        <v>936.219106673444</v>
      </c>
      <c r="AA36" s="87">
        <f>SUM(Z36:Z$42)</f>
        <v>300180.20562111016</v>
      </c>
      <c r="AB36" s="80">
        <f t="shared" si="2"/>
        <v>33.456579416701267</v>
      </c>
      <c r="AC36" s="81">
        <f t="shared" si="3"/>
        <v>30.373898365238336</v>
      </c>
      <c r="AD36" s="89">
        <f t="shared" si="16"/>
        <v>90.78602443762054</v>
      </c>
      <c r="AE36" s="81">
        <f t="shared" si="4"/>
        <v>3.0826810514629353</v>
      </c>
      <c r="AF36" s="90">
        <f t="shared" si="17"/>
        <v>9.2139755623794706</v>
      </c>
      <c r="AH36" s="91">
        <f t="shared" si="31"/>
        <v>1.483631906831438E-6</v>
      </c>
      <c r="AI36" s="92">
        <f t="shared" si="18"/>
        <v>4.8235604109499935E-8</v>
      </c>
      <c r="AJ36" s="92">
        <f t="shared" si="32"/>
        <v>13703306.597871527</v>
      </c>
      <c r="AK36" s="92">
        <f>SUM(AJ36:AJ$42)/U36/U36</f>
        <v>8.7415135189518878E-3</v>
      </c>
      <c r="AL36" s="92">
        <f t="shared" si="33"/>
        <v>11115269.044152329</v>
      </c>
      <c r="AM36" s="92">
        <f>SUM(AL36:AL$42)/U36/U36</f>
        <v>6.1901754026937395E-3</v>
      </c>
      <c r="AN36" s="92">
        <f t="shared" si="34"/>
        <v>147859.52327837996</v>
      </c>
      <c r="AO36" s="93">
        <f>SUM(AN36:AN$42)/U36/U36</f>
        <v>6.5087275738614223E-4</v>
      </c>
      <c r="AP36" s="80">
        <f t="shared" si="5"/>
        <v>33.273327136130447</v>
      </c>
      <c r="AQ36" s="81">
        <f t="shared" si="6"/>
        <v>33.639831697272086</v>
      </c>
      <c r="AR36" s="81">
        <f t="shared" si="7"/>
        <v>30.219690136446911</v>
      </c>
      <c r="AS36" s="81">
        <f t="shared" si="8"/>
        <v>30.528106594029762</v>
      </c>
      <c r="AT36" s="81">
        <f t="shared" si="9"/>
        <v>3.032677123769457</v>
      </c>
      <c r="AU36" s="94">
        <f t="shared" si="10"/>
        <v>3.1326849791564135</v>
      </c>
    </row>
    <row r="37" spans="1:47" ht="14.45" customHeight="1" x14ac:dyDescent="0.15">
      <c r="A37" s="128"/>
      <c r="B37" s="73" t="s">
        <v>80</v>
      </c>
      <c r="C37" s="129">
        <v>46014</v>
      </c>
      <c r="D37" s="75">
        <v>189</v>
      </c>
      <c r="E37" s="75">
        <v>46014</v>
      </c>
      <c r="F37" s="130">
        <v>232.2</v>
      </c>
      <c r="G37" s="77" t="s">
        <v>80</v>
      </c>
      <c r="H37" s="75">
        <v>4542000</v>
      </c>
      <c r="I37" s="75">
        <v>17740</v>
      </c>
      <c r="J37" s="78">
        <v>60</v>
      </c>
      <c r="K37" s="75">
        <v>95799</v>
      </c>
      <c r="L37" s="79">
        <v>2747891</v>
      </c>
      <c r="M37" s="57"/>
      <c r="N37" s="57"/>
      <c r="O37" s="80">
        <f t="shared" si="26"/>
        <v>0.53488630061009423</v>
      </c>
      <c r="P37" s="81">
        <f t="shared" si="27"/>
        <v>1.028545002909921</v>
      </c>
      <c r="Q37" s="82">
        <f t="shared" si="13"/>
        <v>4.1074455600469423E-3</v>
      </c>
      <c r="R37" s="83">
        <f t="shared" si="14"/>
        <v>3.9934524482898763E-3</v>
      </c>
      <c r="S37" s="84">
        <f t="shared" si="15"/>
        <v>5.0462902594862434E-3</v>
      </c>
      <c r="T37" s="85">
        <f t="shared" si="28"/>
        <v>1.9783531649087128E-2</v>
      </c>
      <c r="U37" s="86">
        <f t="shared" si="29"/>
        <v>96188.938983884102</v>
      </c>
      <c r="V37" s="86">
        <f t="shared" si="30"/>
        <v>476519.23825828667</v>
      </c>
      <c r="W37" s="87">
        <f>SUM(V37:V$42)</f>
        <v>2773815.348406285</v>
      </c>
      <c r="X37" s="88">
        <f t="shared" si="0"/>
        <v>474114.58386780607</v>
      </c>
      <c r="Y37" s="86">
        <f>SUM(X37:X$42)</f>
        <v>2474571.3618918485</v>
      </c>
      <c r="Z37" s="86">
        <f t="shared" si="1"/>
        <v>2404.6543904805967</v>
      </c>
      <c r="AA37" s="87">
        <f>SUM(Z37:Z$42)</f>
        <v>299243.98651443672</v>
      </c>
      <c r="AB37" s="80">
        <f t="shared" si="2"/>
        <v>28.83715505866035</v>
      </c>
      <c r="AC37" s="81">
        <f t="shared" si="3"/>
        <v>25.72615300711913</v>
      </c>
      <c r="AD37" s="89">
        <f t="shared" si="16"/>
        <v>89.211827431614381</v>
      </c>
      <c r="AE37" s="81">
        <f t="shared" si="4"/>
        <v>3.1110020515412207</v>
      </c>
      <c r="AF37" s="90">
        <f t="shared" si="17"/>
        <v>10.788172568385615</v>
      </c>
      <c r="AH37" s="91">
        <f t="shared" si="31"/>
        <v>2.0298681754608631E-6</v>
      </c>
      <c r="AI37" s="92">
        <f t="shared" si="18"/>
        <v>1.0911516525629717E-7</v>
      </c>
      <c r="AJ37" s="92">
        <f t="shared" si="32"/>
        <v>13379504.145993346</v>
      </c>
      <c r="AK37" s="92">
        <f>SUM(AJ37:AJ$42)/U37/U37</f>
        <v>7.477596299054738E-3</v>
      </c>
      <c r="AL37" s="92">
        <f t="shared" si="33"/>
        <v>10423720.399785267</v>
      </c>
      <c r="AM37" s="92">
        <f>SUM(AL37:AL$42)/U37/U37</f>
        <v>5.1425973856799251E-3</v>
      </c>
      <c r="AN37" s="92">
        <f t="shared" si="34"/>
        <v>212318.80530612118</v>
      </c>
      <c r="AO37" s="93">
        <f>SUM(AN37:AN$42)/U37/U37</f>
        <v>6.5106050751655208E-4</v>
      </c>
      <c r="AP37" s="80">
        <f t="shared" si="5"/>
        <v>28.667667790871739</v>
      </c>
      <c r="AQ37" s="81">
        <f t="shared" si="6"/>
        <v>29.006642326448961</v>
      </c>
      <c r="AR37" s="81">
        <f t="shared" si="7"/>
        <v>25.585597672404194</v>
      </c>
      <c r="AS37" s="81">
        <f t="shared" si="8"/>
        <v>25.866708341834066</v>
      </c>
      <c r="AT37" s="81">
        <f t="shared" si="9"/>
        <v>3.0609909123252863</v>
      </c>
      <c r="AU37" s="94">
        <f t="shared" si="10"/>
        <v>3.161013190757155</v>
      </c>
    </row>
    <row r="38" spans="1:47" ht="14.45" customHeight="1" x14ac:dyDescent="0.15">
      <c r="A38" s="128"/>
      <c r="B38" s="73" t="s">
        <v>81</v>
      </c>
      <c r="C38" s="129">
        <v>42934</v>
      </c>
      <c r="D38" s="75">
        <v>197</v>
      </c>
      <c r="E38" s="75">
        <v>42934</v>
      </c>
      <c r="F38" s="130">
        <v>502</v>
      </c>
      <c r="G38" s="77" t="s">
        <v>81</v>
      </c>
      <c r="H38" s="75">
        <v>4716000</v>
      </c>
      <c r="I38" s="75">
        <v>26125</v>
      </c>
      <c r="J38" s="78">
        <v>65</v>
      </c>
      <c r="K38" s="75">
        <v>93996</v>
      </c>
      <c r="L38" s="79">
        <v>2273089</v>
      </c>
      <c r="M38" s="57"/>
      <c r="N38" s="57"/>
      <c r="O38" s="80">
        <f t="shared" si="26"/>
        <v>0.52904202953426738</v>
      </c>
      <c r="P38" s="81">
        <f t="shared" si="27"/>
        <v>0.97276587127244762</v>
      </c>
      <c r="Q38" s="82">
        <f t="shared" si="13"/>
        <v>4.5884380677318672E-3</v>
      </c>
      <c r="R38" s="83">
        <f t="shared" si="14"/>
        <v>4.7168986939579412E-3</v>
      </c>
      <c r="S38" s="84">
        <f t="shared" si="15"/>
        <v>1.1692365025387804E-2</v>
      </c>
      <c r="T38" s="85">
        <f t="shared" si="28"/>
        <v>2.3325411011262138E-2</v>
      </c>
      <c r="U38" s="86">
        <f t="shared" si="29"/>
        <v>94285.982065204327</v>
      </c>
      <c r="V38" s="86">
        <f t="shared" si="30"/>
        <v>466251.11688077974</v>
      </c>
      <c r="W38" s="87">
        <f>SUM(V38:V$42)</f>
        <v>2297296.1101479982</v>
      </c>
      <c r="X38" s="88">
        <f t="shared" si="0"/>
        <v>460799.53862871492</v>
      </c>
      <c r="Y38" s="86">
        <f>SUM(X38:X$42)</f>
        <v>2000456.7780240423</v>
      </c>
      <c r="Z38" s="86">
        <f t="shared" si="1"/>
        <v>5451.5782520648299</v>
      </c>
      <c r="AA38" s="87">
        <f>SUM(Z38:Z$42)</f>
        <v>296839.33212395612</v>
      </c>
      <c r="AB38" s="80">
        <f t="shared" si="2"/>
        <v>24.365192575066803</v>
      </c>
      <c r="AC38" s="81">
        <f t="shared" si="3"/>
        <v>21.216905569701847</v>
      </c>
      <c r="AD38" s="89">
        <f t="shared" si="16"/>
        <v>87.078751806843357</v>
      </c>
      <c r="AE38" s="81">
        <f t="shared" si="4"/>
        <v>3.1482870053649563</v>
      </c>
      <c r="AF38" s="90">
        <f t="shared" si="17"/>
        <v>12.921248193156645</v>
      </c>
      <c r="AH38" s="91">
        <f t="shared" si="31"/>
        <v>2.6973808656872878E-6</v>
      </c>
      <c r="AI38" s="92">
        <f t="shared" si="18"/>
        <v>2.691492436181323E-7</v>
      </c>
      <c r="AJ38" s="92">
        <f t="shared" si="32"/>
        <v>11859208.172277369</v>
      </c>
      <c r="AK38" s="92">
        <f>SUM(AJ38:AJ$42)/U38/U38</f>
        <v>6.2774481240470692E-3</v>
      </c>
      <c r="AL38" s="92">
        <f t="shared" si="33"/>
        <v>8757827.8156816028</v>
      </c>
      <c r="AM38" s="92">
        <f>SUM(AL38:AL$42)/U38/U38</f>
        <v>4.179734191602457E-3</v>
      </c>
      <c r="AN38" s="92">
        <f t="shared" si="34"/>
        <v>302802.90846082044</v>
      </c>
      <c r="AO38" s="93">
        <f>SUM(AN38:AN$42)/U38/U38</f>
        <v>6.5372289455918229E-4</v>
      </c>
      <c r="AP38" s="80">
        <f t="shared" si="5"/>
        <v>24.209901091999189</v>
      </c>
      <c r="AQ38" s="81">
        <f t="shared" si="6"/>
        <v>24.520484058134418</v>
      </c>
      <c r="AR38" s="81">
        <f t="shared" si="7"/>
        <v>21.090189876630863</v>
      </c>
      <c r="AS38" s="81">
        <f t="shared" si="8"/>
        <v>21.343621262772832</v>
      </c>
      <c r="AT38" s="81">
        <f t="shared" si="9"/>
        <v>3.0981737149946507</v>
      </c>
      <c r="AU38" s="94">
        <f t="shared" si="10"/>
        <v>3.198400295735262</v>
      </c>
    </row>
    <row r="39" spans="1:47" ht="14.45" customHeight="1" x14ac:dyDescent="0.15">
      <c r="A39" s="128"/>
      <c r="B39" s="73" t="s">
        <v>82</v>
      </c>
      <c r="C39" s="129">
        <v>36578</v>
      </c>
      <c r="D39" s="75">
        <v>320</v>
      </c>
      <c r="E39" s="75">
        <v>36578</v>
      </c>
      <c r="F39" s="130">
        <v>889</v>
      </c>
      <c r="G39" s="77" t="s">
        <v>82</v>
      </c>
      <c r="H39" s="75">
        <v>4220000</v>
      </c>
      <c r="I39" s="75">
        <v>37566</v>
      </c>
      <c r="J39" s="78">
        <v>70</v>
      </c>
      <c r="K39" s="75">
        <v>91355</v>
      </c>
      <c r="L39" s="79">
        <v>1809328</v>
      </c>
      <c r="M39" s="57"/>
      <c r="N39" s="57"/>
      <c r="O39" s="80">
        <f t="shared" si="26"/>
        <v>0.53975784531751914</v>
      </c>
      <c r="P39" s="81">
        <f t="shared" si="27"/>
        <v>0.98425007887183402</v>
      </c>
      <c r="Q39" s="82">
        <f t="shared" si="13"/>
        <v>8.7484280168407241E-3</v>
      </c>
      <c r="R39" s="83">
        <f t="shared" si="14"/>
        <v>8.8884199296873183E-3</v>
      </c>
      <c r="S39" s="84">
        <f t="shared" si="15"/>
        <v>2.4304226584285635E-2</v>
      </c>
      <c r="T39" s="85">
        <f t="shared" si="28"/>
        <v>4.355129588095185E-2</v>
      </c>
      <c r="U39" s="86">
        <f t="shared" si="29"/>
        <v>92086.722780932949</v>
      </c>
      <c r="V39" s="86">
        <f t="shared" si="30"/>
        <v>451204.61704836244</v>
      </c>
      <c r="W39" s="87">
        <f>SUM(V39:V$42)</f>
        <v>1831044.9932672186</v>
      </c>
      <c r="X39" s="88">
        <f t="shared" si="0"/>
        <v>440238.4377997432</v>
      </c>
      <c r="Y39" s="86">
        <f>SUM(X39:X$42)</f>
        <v>1539657.2393953272</v>
      </c>
      <c r="Z39" s="86">
        <f t="shared" si="1"/>
        <v>10966.17924861923</v>
      </c>
      <c r="AA39" s="87">
        <f>SUM(Z39:Z$42)</f>
        <v>291387.7538718913</v>
      </c>
      <c r="AB39" s="80">
        <f t="shared" si="2"/>
        <v>19.883919613722494</v>
      </c>
      <c r="AC39" s="81">
        <f t="shared" si="3"/>
        <v>16.71964418864216</v>
      </c>
      <c r="AD39" s="89">
        <f t="shared" si="16"/>
        <v>84.086259215730436</v>
      </c>
      <c r="AE39" s="81">
        <f t="shared" si="4"/>
        <v>3.1642754250803318</v>
      </c>
      <c r="AF39" s="90">
        <f t="shared" si="17"/>
        <v>15.913740784269564</v>
      </c>
      <c r="AH39" s="91">
        <f t="shared" si="31"/>
        <v>5.6690967515707836E-6</v>
      </c>
      <c r="AI39" s="92">
        <f t="shared" si="18"/>
        <v>6.4830037602999988E-7</v>
      </c>
      <c r="AJ39" s="92">
        <f t="shared" si="32"/>
        <v>15519945.81676797</v>
      </c>
      <c r="AK39" s="92">
        <f>SUM(AJ39:AJ$42)/U39/U39</f>
        <v>5.1823732820351015E-3</v>
      </c>
      <c r="AL39" s="92">
        <f t="shared" si="33"/>
        <v>10559659.107670547</v>
      </c>
      <c r="AM39" s="92">
        <f>SUM(AL39:AL$42)/U39/U39</f>
        <v>3.3489959960372323E-3</v>
      </c>
      <c r="AN39" s="92">
        <f t="shared" si="34"/>
        <v>636574.99774669926</v>
      </c>
      <c r="AO39" s="93">
        <f>SUM(AN39:AN$42)/U39/U39</f>
        <v>6.4961276823088617E-4</v>
      </c>
      <c r="AP39" s="80">
        <f t="shared" si="5"/>
        <v>19.742821756898707</v>
      </c>
      <c r="AQ39" s="81">
        <f t="shared" si="6"/>
        <v>20.025017470546281</v>
      </c>
      <c r="AR39" s="81">
        <f t="shared" si="7"/>
        <v>16.606217987884236</v>
      </c>
      <c r="AS39" s="81">
        <f t="shared" si="8"/>
        <v>16.833070389400085</v>
      </c>
      <c r="AT39" s="81">
        <f t="shared" si="9"/>
        <v>3.1143199207746424</v>
      </c>
      <c r="AU39" s="94">
        <f t="shared" si="10"/>
        <v>3.2142309293860212</v>
      </c>
    </row>
    <row r="40" spans="1:47" ht="14.45" customHeight="1" x14ac:dyDescent="0.15">
      <c r="A40" s="128"/>
      <c r="B40" s="73" t="s">
        <v>83</v>
      </c>
      <c r="C40" s="129">
        <v>35188</v>
      </c>
      <c r="D40" s="75">
        <v>546</v>
      </c>
      <c r="E40" s="75">
        <v>35188</v>
      </c>
      <c r="F40" s="130">
        <v>2014</v>
      </c>
      <c r="G40" s="77" t="s">
        <v>83</v>
      </c>
      <c r="H40" s="75">
        <v>3487000</v>
      </c>
      <c r="I40" s="75">
        <v>57721</v>
      </c>
      <c r="J40" s="78">
        <v>75</v>
      </c>
      <c r="K40" s="75">
        <v>87308</v>
      </c>
      <c r="L40" s="79">
        <v>1361866</v>
      </c>
      <c r="M40" s="57"/>
      <c r="N40" s="57"/>
      <c r="O40" s="80">
        <f t="shared" si="26"/>
        <v>0.54904899135446683</v>
      </c>
      <c r="P40" s="81">
        <f t="shared" si="27"/>
        <v>1.0039061153448501</v>
      </c>
      <c r="Q40" s="82">
        <f t="shared" si="13"/>
        <v>1.5516653404569739E-2</v>
      </c>
      <c r="R40" s="83">
        <f t="shared" si="14"/>
        <v>1.5456279394452778E-2</v>
      </c>
      <c r="S40" s="84">
        <f t="shared" si="15"/>
        <v>5.7235421166306692E-2</v>
      </c>
      <c r="T40" s="85">
        <f t="shared" si="28"/>
        <v>7.4678830476395577E-2</v>
      </c>
      <c r="U40" s="86">
        <f t="shared" si="29"/>
        <v>88076.226670393342</v>
      </c>
      <c r="V40" s="86">
        <f t="shared" si="30"/>
        <v>425550.64078872185</v>
      </c>
      <c r="W40" s="87">
        <f>SUM(V40:V$42)</f>
        <v>1379840.3762188563</v>
      </c>
      <c r="X40" s="88">
        <f t="shared" si="0"/>
        <v>401194.07063558768</v>
      </c>
      <c r="Y40" s="86">
        <f>SUM(X40:X$42)</f>
        <v>1099418.801595584</v>
      </c>
      <c r="Z40" s="86">
        <f t="shared" si="1"/>
        <v>24356.570153134187</v>
      </c>
      <c r="AA40" s="87">
        <f>SUM(Z40:Z$42)</f>
        <v>280421.57462327206</v>
      </c>
      <c r="AB40" s="80">
        <f t="shared" si="2"/>
        <v>15.666433819680051</v>
      </c>
      <c r="AC40" s="81">
        <f t="shared" si="3"/>
        <v>12.482582907529935</v>
      </c>
      <c r="AD40" s="89">
        <f t="shared" si="16"/>
        <v>79.677245320817121</v>
      </c>
      <c r="AE40" s="81">
        <f t="shared" si="4"/>
        <v>3.1838509121501142</v>
      </c>
      <c r="AF40" s="90">
        <f t="shared" si="17"/>
        <v>20.322754679182864</v>
      </c>
      <c r="AH40" s="91">
        <f t="shared" si="31"/>
        <v>9.4513723103342413E-6</v>
      </c>
      <c r="AI40" s="92">
        <f t="shared" si="18"/>
        <v>1.5334639004837498E-6</v>
      </c>
      <c r="AJ40" s="92">
        <f t="shared" si="32"/>
        <v>14296582.176167352</v>
      </c>
      <c r="AK40" s="92">
        <f>SUM(AJ40:AJ$42)/U40/U40</f>
        <v>3.6644128408174588E-3</v>
      </c>
      <c r="AL40" s="92">
        <f t="shared" si="33"/>
        <v>8660937.2530438658</v>
      </c>
      <c r="AM40" s="92">
        <f>SUM(AL40:AL$42)/U40/U40</f>
        <v>2.2996955394344841E-3</v>
      </c>
      <c r="AN40" s="92">
        <f t="shared" si="34"/>
        <v>1062164.789912655</v>
      </c>
      <c r="AO40" s="93">
        <f>SUM(AN40:AN$42)/U40/U40</f>
        <v>6.2805896202810954E-4</v>
      </c>
      <c r="AP40" s="80">
        <f t="shared" si="5"/>
        <v>15.547786407701178</v>
      </c>
      <c r="AQ40" s="81">
        <f t="shared" si="6"/>
        <v>15.785081231658925</v>
      </c>
      <c r="AR40" s="81">
        <f t="shared" si="7"/>
        <v>12.388590831351719</v>
      </c>
      <c r="AS40" s="81">
        <f t="shared" si="8"/>
        <v>12.57657498370815</v>
      </c>
      <c r="AT40" s="81">
        <f t="shared" si="9"/>
        <v>3.1347311472023134</v>
      </c>
      <c r="AU40" s="94">
        <f t="shared" si="10"/>
        <v>3.232970677097915</v>
      </c>
    </row>
    <row r="41" spans="1:47" ht="14.45" customHeight="1" x14ac:dyDescent="0.15">
      <c r="A41" s="128"/>
      <c r="B41" s="73" t="s">
        <v>84</v>
      </c>
      <c r="C41" s="129">
        <v>32056</v>
      </c>
      <c r="D41" s="75">
        <v>1033</v>
      </c>
      <c r="E41" s="75">
        <v>32056</v>
      </c>
      <c r="F41" s="130">
        <v>4199</v>
      </c>
      <c r="G41" s="77" t="s">
        <v>84</v>
      </c>
      <c r="H41" s="75">
        <v>2916000</v>
      </c>
      <c r="I41" s="75">
        <v>95426</v>
      </c>
      <c r="J41" s="78">
        <v>80</v>
      </c>
      <c r="K41" s="75">
        <v>80368</v>
      </c>
      <c r="L41" s="79">
        <v>940974</v>
      </c>
      <c r="M41" s="57"/>
      <c r="N41" s="57"/>
      <c r="O41" s="80">
        <f>IF(K41&lt;0.5,0.5,((L41-L42)-5*K42)/5/(K41-K42))</f>
        <v>0.54531073446327682</v>
      </c>
      <c r="P41" s="81">
        <f>IF(H41&lt;0.5,1,(I41/H41)/((K41-K42)/(L41-L42)))</f>
        <v>0.98695749680867906</v>
      </c>
      <c r="Q41" s="82">
        <f t="shared" si="13"/>
        <v>3.2224856501123035E-2</v>
      </c>
      <c r="R41" s="83">
        <f t="shared" si="14"/>
        <v>3.2650703404474769E-2</v>
      </c>
      <c r="S41" s="84">
        <f t="shared" si="15"/>
        <v>0.13098951834289993</v>
      </c>
      <c r="T41" s="85">
        <f>5*R41/(1+5*(1-O41)*R41)</f>
        <v>0.15197264506283195</v>
      </c>
      <c r="U41" s="86">
        <f t="shared" si="29"/>
        <v>81498.797069874447</v>
      </c>
      <c r="V41" s="86">
        <f>5*U41*((1-T41)+O41*T41)</f>
        <v>379336.01633986109</v>
      </c>
      <c r="W41" s="87">
        <f>SUM(V41:V$42)</f>
        <v>954289.73543013434</v>
      </c>
      <c r="X41" s="88">
        <f t="shared" si="0"/>
        <v>329646.97426938824</v>
      </c>
      <c r="Y41" s="86">
        <f>SUM(X41:X$42)</f>
        <v>698224.73095999635</v>
      </c>
      <c r="Z41" s="86">
        <f t="shared" si="1"/>
        <v>49689.042070472824</v>
      </c>
      <c r="AA41" s="87">
        <f>SUM(Z41:Z$42)</f>
        <v>256065.00447013788</v>
      </c>
      <c r="AB41" s="80">
        <f t="shared" si="2"/>
        <v>11.709249335446719</v>
      </c>
      <c r="AC41" s="81">
        <f t="shared" si="3"/>
        <v>8.5673010653318098</v>
      </c>
      <c r="AD41" s="89">
        <f t="shared" si="16"/>
        <v>73.166953917332052</v>
      </c>
      <c r="AE41" s="81">
        <f t="shared" si="4"/>
        <v>3.1419482701149071</v>
      </c>
      <c r="AF41" s="90">
        <f t="shared" si="17"/>
        <v>26.833046082667934</v>
      </c>
      <c r="AH41" s="91">
        <f>IF(D41=0,0,T41*T41*(1-T41)/D41)</f>
        <v>1.8960089575602654E-5</v>
      </c>
      <c r="AI41" s="92">
        <f t="shared" si="18"/>
        <v>3.5510127410530009E-6</v>
      </c>
      <c r="AJ41" s="92">
        <f>U41*U41*((1-O41)*5+AB42)^2*AH41</f>
        <v>14129813.529418377</v>
      </c>
      <c r="AK41" s="92">
        <f>SUM(AJ41:AJ$42)/U41/U41</f>
        <v>2.1273259283111526E-3</v>
      </c>
      <c r="AL41" s="92">
        <f>U41*U41*((1-O41)*5*(1-S41)+AC42)^2*AH41+V41*V41*AI41</f>
        <v>7237826.9940450061</v>
      </c>
      <c r="AM41" s="92">
        <f>SUM(AL41:AL$42)/U41/U41</f>
        <v>1.3819175429085604E-3</v>
      </c>
      <c r="AN41" s="92">
        <f>U41*U41*((1-O41)*5*S41+AE42)^2*AH41+V41*V41*AI41</f>
        <v>1869009.589577096</v>
      </c>
      <c r="AO41" s="93">
        <f>SUM(AN41:AN$42)/U41/U41</f>
        <v>5.7361073510011381E-4</v>
      </c>
      <c r="AP41" s="80">
        <f t="shared" si="5"/>
        <v>11.618848365948599</v>
      </c>
      <c r="AQ41" s="81">
        <f t="shared" si="6"/>
        <v>11.799650304944839</v>
      </c>
      <c r="AR41" s="81">
        <f t="shared" si="7"/>
        <v>8.494439728308409</v>
      </c>
      <c r="AS41" s="81">
        <f t="shared" si="8"/>
        <v>8.6401624023552106</v>
      </c>
      <c r="AT41" s="81">
        <f t="shared" si="9"/>
        <v>3.0950059331475108</v>
      </c>
      <c r="AU41" s="94">
        <f t="shared" si="10"/>
        <v>3.1888906070823033</v>
      </c>
    </row>
    <row r="42" spans="1:47" ht="14.45" customHeight="1" thickBot="1" x14ac:dyDescent="0.2">
      <c r="A42" s="131"/>
      <c r="B42" s="132" t="s">
        <v>85</v>
      </c>
      <c r="C42" s="133">
        <v>39190</v>
      </c>
      <c r="D42" s="134">
        <v>4042</v>
      </c>
      <c r="E42" s="134">
        <v>39190</v>
      </c>
      <c r="F42" s="135">
        <v>14067</v>
      </c>
      <c r="G42" s="136" t="s">
        <v>85</v>
      </c>
      <c r="H42" s="134">
        <v>3359000</v>
      </c>
      <c r="I42" s="134">
        <v>345348</v>
      </c>
      <c r="J42" s="137">
        <v>85</v>
      </c>
      <c r="K42" s="134">
        <v>67978</v>
      </c>
      <c r="L42" s="138">
        <v>567302</v>
      </c>
      <c r="M42" s="57"/>
      <c r="N42" s="57"/>
      <c r="O42" s="139">
        <v>1</v>
      </c>
      <c r="P42" s="140">
        <f>IF(H42&lt;0.5,1,(I42/H42)/(K42/L42))</f>
        <v>0.85801103442648385</v>
      </c>
      <c r="Q42" s="141">
        <f t="shared" si="13"/>
        <v>0.10313855575401888</v>
      </c>
      <c r="R42" s="142">
        <f t="shared" si="14"/>
        <v>0.12020656100647853</v>
      </c>
      <c r="S42" s="143">
        <f t="shared" si="15"/>
        <v>0.35894360806328146</v>
      </c>
      <c r="T42" s="139">
        <v>1</v>
      </c>
      <c r="U42" s="144">
        <f>U41*(1-T41)</f>
        <v>69113.209309726648</v>
      </c>
      <c r="V42" s="144">
        <f>U42/R42</f>
        <v>574953.71909027325</v>
      </c>
      <c r="W42" s="145">
        <f>SUM(V42:V$42)</f>
        <v>574953.71909027325</v>
      </c>
      <c r="X42" s="139">
        <f t="shared" si="0"/>
        <v>368577.75669060816</v>
      </c>
      <c r="Y42" s="144">
        <f>SUM(X42:X$42)</f>
        <v>368577.75669060816</v>
      </c>
      <c r="Z42" s="144">
        <f t="shared" si="1"/>
        <v>206375.96239966506</v>
      </c>
      <c r="AA42" s="145">
        <f>SUM(Z42:Z$42)</f>
        <v>206375.96239966506</v>
      </c>
      <c r="AB42" s="146">
        <f t="shared" si="2"/>
        <v>8.3190134683755321</v>
      </c>
      <c r="AC42" s="140">
        <f t="shared" si="3"/>
        <v>5.3329567585097859</v>
      </c>
      <c r="AD42" s="147">
        <f t="shared" si="16"/>
        <v>64.105639193671863</v>
      </c>
      <c r="AE42" s="140">
        <f t="shared" si="4"/>
        <v>2.9860567098657471</v>
      </c>
      <c r="AF42" s="148">
        <f t="shared" si="17"/>
        <v>35.894360806328152</v>
      </c>
      <c r="AH42" s="149">
        <f>0</f>
        <v>0</v>
      </c>
      <c r="AI42" s="150">
        <f t="shared" si="18"/>
        <v>5.8714747204336523E-6</v>
      </c>
      <c r="AJ42" s="150">
        <v>0</v>
      </c>
      <c r="AK42" s="150">
        <f>(1-R42)/R42/R42/D42</f>
        <v>1.5063575363344376E-2</v>
      </c>
      <c r="AL42" s="150">
        <f>V42*V42*AI42</f>
        <v>1940943.8442493968</v>
      </c>
      <c r="AM42" s="150">
        <f>(1-S42)*(1-S42)*(1-R42)/R42/R42/D42+AI42/R42/R42</f>
        <v>6.5967671618001817E-3</v>
      </c>
      <c r="AN42" s="150">
        <f>V42*V42*AI42</f>
        <v>1940943.8442493968</v>
      </c>
      <c r="AO42" s="151">
        <f>S42*S42*(1-R42)/R42/R42/D42+AI42/R42/R42</f>
        <v>2.3471399809597785E-3</v>
      </c>
      <c r="AP42" s="146">
        <f t="shared" si="5"/>
        <v>8.0784553026113581</v>
      </c>
      <c r="AQ42" s="140">
        <f t="shared" si="6"/>
        <v>8.5595716341397061</v>
      </c>
      <c r="AR42" s="140">
        <f t="shared" si="7"/>
        <v>5.1737646081732462</v>
      </c>
      <c r="AS42" s="140">
        <f t="shared" si="8"/>
        <v>5.4921489088463256</v>
      </c>
      <c r="AT42" s="140">
        <f t="shared" si="9"/>
        <v>2.8911000199968648</v>
      </c>
      <c r="AU42" s="152">
        <f t="shared" si="10"/>
        <v>3.0810133997346294</v>
      </c>
    </row>
    <row r="43" spans="1:47" ht="14.45" customHeight="1" thickTop="1" x14ac:dyDescent="0.25">
      <c r="G43" s="153"/>
      <c r="H43" s="153"/>
      <c r="I43" s="153"/>
      <c r="J43" s="153"/>
      <c r="K43" s="153"/>
      <c r="L43" s="153"/>
    </row>
    <row r="44" spans="1:47" ht="14.45" customHeight="1" thickBot="1" x14ac:dyDescent="0.3">
      <c r="A44" s="1" t="s">
        <v>87</v>
      </c>
      <c r="G44" s="153"/>
      <c r="H44" s="153"/>
      <c r="I44" s="153"/>
      <c r="J44" s="200" t="s">
        <v>88</v>
      </c>
      <c r="K44" s="201"/>
      <c r="L44" s="201"/>
      <c r="M44" s="201"/>
    </row>
    <row r="45" spans="1:47" ht="14.45" customHeight="1" thickTop="1" x14ac:dyDescent="0.25">
      <c r="A45" s="183" t="s">
        <v>20</v>
      </c>
      <c r="B45" s="185" t="s">
        <v>89</v>
      </c>
      <c r="C45" s="187" t="s">
        <v>37</v>
      </c>
      <c r="D45" s="188"/>
      <c r="E45" s="188"/>
      <c r="F45" s="189" t="s">
        <v>90</v>
      </c>
      <c r="G45" s="188"/>
      <c r="H45" s="188"/>
      <c r="I45" s="188"/>
      <c r="J45" s="189" t="s">
        <v>91</v>
      </c>
      <c r="K45" s="188"/>
      <c r="L45" s="188"/>
      <c r="M45" s="190"/>
    </row>
    <row r="46" spans="1:47" ht="14.45" customHeight="1" x14ac:dyDescent="0.25">
      <c r="A46" s="184"/>
      <c r="B46" s="186"/>
      <c r="C46" s="23" t="s">
        <v>92</v>
      </c>
      <c r="D46" s="191" t="s">
        <v>19</v>
      </c>
      <c r="E46" s="192"/>
      <c r="F46" s="25" t="s">
        <v>92</v>
      </c>
      <c r="G46" s="191" t="s">
        <v>19</v>
      </c>
      <c r="H46" s="193"/>
      <c r="I46" s="154" t="s">
        <v>93</v>
      </c>
      <c r="J46" s="25" t="s">
        <v>92</v>
      </c>
      <c r="K46" s="191" t="s">
        <v>19</v>
      </c>
      <c r="L46" s="193"/>
      <c r="M46" s="155" t="s">
        <v>93</v>
      </c>
    </row>
    <row r="47" spans="1:47" ht="14.45" customHeight="1" x14ac:dyDescent="0.25">
      <c r="A47" s="49" t="s">
        <v>67</v>
      </c>
      <c r="B47" s="50">
        <v>0</v>
      </c>
      <c r="C47" s="156">
        <f>AB7</f>
        <v>80.122553157983575</v>
      </c>
      <c r="D47" s="156">
        <f t="shared" ref="D47:E82" si="35">AP7</f>
        <v>79.773997539539479</v>
      </c>
      <c r="E47" s="157">
        <f t="shared" si="35"/>
        <v>80.47110877642767</v>
      </c>
      <c r="F47" s="158">
        <f>AC7</f>
        <v>78.672058286524447</v>
      </c>
      <c r="G47" s="156">
        <f t="shared" ref="G47:H82" si="36">AR7</f>
        <v>78.342100078598605</v>
      </c>
      <c r="H47" s="156">
        <f t="shared" si="36"/>
        <v>79.002016494450288</v>
      </c>
      <c r="I47" s="159">
        <f t="shared" ref="I47:J82" si="37">AD7</f>
        <v>98.189654704838119</v>
      </c>
      <c r="J47" s="158">
        <f t="shared" si="37"/>
        <v>1.4504948714591417</v>
      </c>
      <c r="K47" s="156">
        <f t="shared" ref="K47:L82" si="38">AT7</f>
        <v>1.4134166693249992</v>
      </c>
      <c r="L47" s="156">
        <f t="shared" si="38"/>
        <v>1.4875730735932842</v>
      </c>
      <c r="M47" s="160">
        <f>AF7</f>
        <v>1.8103452951618921</v>
      </c>
    </row>
    <row r="48" spans="1:47" ht="14.45" customHeight="1" x14ac:dyDescent="0.25">
      <c r="A48" s="49"/>
      <c r="B48" s="73">
        <v>5</v>
      </c>
      <c r="C48" s="161">
        <f>AB8</f>
        <v>75.455153211419301</v>
      </c>
      <c r="D48" s="161">
        <f t="shared" si="35"/>
        <v>75.13547922174746</v>
      </c>
      <c r="E48" s="162">
        <f t="shared" si="35"/>
        <v>75.774827201091142</v>
      </c>
      <c r="F48" s="163">
        <f>AC8</f>
        <v>73.998570388724644</v>
      </c>
      <c r="G48" s="161">
        <f t="shared" si="36"/>
        <v>73.698230847901783</v>
      </c>
      <c r="H48" s="161">
        <f t="shared" si="36"/>
        <v>74.298909929547506</v>
      </c>
      <c r="I48" s="164">
        <f t="shared" si="37"/>
        <v>98.069604578744375</v>
      </c>
      <c r="J48" s="163">
        <f t="shared" si="37"/>
        <v>1.45658282269464</v>
      </c>
      <c r="K48" s="161">
        <f t="shared" si="38"/>
        <v>1.4194405396807139</v>
      </c>
      <c r="L48" s="161">
        <f t="shared" si="38"/>
        <v>1.4937251057085661</v>
      </c>
      <c r="M48" s="165">
        <f>AF8</f>
        <v>1.9303954212556054</v>
      </c>
    </row>
    <row r="49" spans="1:13" ht="14.45" customHeight="1" x14ac:dyDescent="0.25">
      <c r="A49" s="49"/>
      <c r="B49" s="73">
        <v>10</v>
      </c>
      <c r="C49" s="161">
        <f t="shared" ref="C49:C62" si="39">AB9</f>
        <v>70.483220431869739</v>
      </c>
      <c r="D49" s="161">
        <f t="shared" si="35"/>
        <v>70.165799285727047</v>
      </c>
      <c r="E49" s="162">
        <f t="shared" si="35"/>
        <v>70.800641578012431</v>
      </c>
      <c r="F49" s="163">
        <f t="shared" ref="F49:F62" si="40">AC9</f>
        <v>69.026078613543135</v>
      </c>
      <c r="G49" s="161">
        <f t="shared" si="36"/>
        <v>68.728053351796817</v>
      </c>
      <c r="H49" s="161">
        <f t="shared" si="36"/>
        <v>69.324103875289453</v>
      </c>
      <c r="I49" s="164">
        <f t="shared" si="37"/>
        <v>97.932640124275963</v>
      </c>
      <c r="J49" s="163">
        <f t="shared" si="37"/>
        <v>1.4571418183266138</v>
      </c>
      <c r="K49" s="161">
        <f t="shared" si="38"/>
        <v>1.4199933618207428</v>
      </c>
      <c r="L49" s="161">
        <f t="shared" si="38"/>
        <v>1.4942902748324849</v>
      </c>
      <c r="M49" s="165">
        <f t="shared" ref="M49:M62" si="41">AF9</f>
        <v>2.0673598757240548</v>
      </c>
    </row>
    <row r="50" spans="1:13" ht="14.45" customHeight="1" x14ac:dyDescent="0.25">
      <c r="A50" s="49"/>
      <c r="B50" s="73">
        <v>15</v>
      </c>
      <c r="C50" s="161">
        <f t="shared" si="39"/>
        <v>65.507845625969225</v>
      </c>
      <c r="D50" s="161">
        <f t="shared" si="35"/>
        <v>65.192149043258823</v>
      </c>
      <c r="E50" s="162">
        <f t="shared" si="35"/>
        <v>65.823542208679626</v>
      </c>
      <c r="F50" s="163">
        <f t="shared" si="40"/>
        <v>64.050173539494878</v>
      </c>
      <c r="G50" s="161">
        <f t="shared" si="36"/>
        <v>63.75391662952719</v>
      </c>
      <c r="H50" s="161">
        <f t="shared" si="36"/>
        <v>64.346430449462559</v>
      </c>
      <c r="I50" s="164">
        <f t="shared" si="37"/>
        <v>97.774812966988364</v>
      </c>
      <c r="J50" s="163">
        <f t="shared" si="37"/>
        <v>1.4576720864743491</v>
      </c>
      <c r="K50" s="161">
        <f t="shared" si="38"/>
        <v>1.4205173814584171</v>
      </c>
      <c r="L50" s="161">
        <f t="shared" si="38"/>
        <v>1.4948267914902811</v>
      </c>
      <c r="M50" s="165">
        <f t="shared" si="41"/>
        <v>2.2251870330116388</v>
      </c>
    </row>
    <row r="51" spans="1:13" ht="14.45" customHeight="1" x14ac:dyDescent="0.25">
      <c r="A51" s="49"/>
      <c r="B51" s="73">
        <v>20</v>
      </c>
      <c r="C51" s="161">
        <f t="shared" si="39"/>
        <v>60.59760891782156</v>
      </c>
      <c r="D51" s="161">
        <f t="shared" si="35"/>
        <v>60.287648195291069</v>
      </c>
      <c r="E51" s="162">
        <f t="shared" si="35"/>
        <v>60.907569640352051</v>
      </c>
      <c r="F51" s="163">
        <f t="shared" si="40"/>
        <v>59.137846454061162</v>
      </c>
      <c r="G51" s="161">
        <f t="shared" si="36"/>
        <v>58.847461027966737</v>
      </c>
      <c r="H51" s="161">
        <f t="shared" si="36"/>
        <v>59.428231880155586</v>
      </c>
      <c r="I51" s="164">
        <f t="shared" si="37"/>
        <v>97.591056000674826</v>
      </c>
      <c r="J51" s="163">
        <f t="shared" si="37"/>
        <v>1.4597624637604092</v>
      </c>
      <c r="K51" s="161">
        <f t="shared" si="38"/>
        <v>1.4225827252903018</v>
      </c>
      <c r="L51" s="161">
        <f t="shared" si="38"/>
        <v>1.4969422022305165</v>
      </c>
      <c r="M51" s="165">
        <f t="shared" si="41"/>
        <v>2.4089439993251909</v>
      </c>
    </row>
    <row r="52" spans="1:13" ht="14.45" customHeight="1" x14ac:dyDescent="0.25">
      <c r="A52" s="49"/>
      <c r="B52" s="73">
        <v>25</v>
      </c>
      <c r="C52" s="161">
        <f t="shared" si="39"/>
        <v>55.759288289805085</v>
      </c>
      <c r="D52" s="161">
        <f t="shared" si="35"/>
        <v>55.462269003961147</v>
      </c>
      <c r="E52" s="162">
        <f t="shared" si="35"/>
        <v>56.056307575649022</v>
      </c>
      <c r="F52" s="163">
        <f t="shared" si="40"/>
        <v>54.295455782097953</v>
      </c>
      <c r="G52" s="161">
        <f t="shared" si="36"/>
        <v>54.018291466692176</v>
      </c>
      <c r="H52" s="161">
        <f t="shared" si="36"/>
        <v>54.57262009750373</v>
      </c>
      <c r="I52" s="164">
        <f t="shared" si="37"/>
        <v>97.374728852170847</v>
      </c>
      <c r="J52" s="163">
        <f t="shared" si="37"/>
        <v>1.4638325077071361</v>
      </c>
      <c r="K52" s="161">
        <f t="shared" si="38"/>
        <v>1.4266204916555136</v>
      </c>
      <c r="L52" s="161">
        <f t="shared" si="38"/>
        <v>1.5010445237587586</v>
      </c>
      <c r="M52" s="165">
        <f t="shared" si="41"/>
        <v>2.6252711478291597</v>
      </c>
    </row>
    <row r="53" spans="1:13" ht="14.45" customHeight="1" x14ac:dyDescent="0.25">
      <c r="A53" s="49"/>
      <c r="B53" s="73">
        <v>30</v>
      </c>
      <c r="C53" s="161">
        <f t="shared" si="39"/>
        <v>50.957765994291321</v>
      </c>
      <c r="D53" s="161">
        <f t="shared" si="35"/>
        <v>50.675021196718461</v>
      </c>
      <c r="E53" s="162">
        <f t="shared" si="35"/>
        <v>51.240510791864182</v>
      </c>
      <c r="F53" s="163">
        <f t="shared" si="40"/>
        <v>49.488473407979868</v>
      </c>
      <c r="G53" s="161">
        <f t="shared" si="36"/>
        <v>49.225901770527791</v>
      </c>
      <c r="H53" s="161">
        <f t="shared" si="36"/>
        <v>49.751045045431944</v>
      </c>
      <c r="I53" s="164">
        <f t="shared" si="37"/>
        <v>97.116646388155914</v>
      </c>
      <c r="J53" s="163">
        <f t="shared" si="37"/>
        <v>1.4692925863114599</v>
      </c>
      <c r="K53" s="161">
        <f t="shared" si="38"/>
        <v>1.4320324005011755</v>
      </c>
      <c r="L53" s="161">
        <f t="shared" si="38"/>
        <v>1.5065527721217442</v>
      </c>
      <c r="M53" s="165">
        <f t="shared" si="41"/>
        <v>2.8833536118440932</v>
      </c>
    </row>
    <row r="54" spans="1:13" ht="14.45" customHeight="1" x14ac:dyDescent="0.25">
      <c r="A54" s="49"/>
      <c r="B54" s="73">
        <v>35</v>
      </c>
      <c r="C54" s="161">
        <f t="shared" si="39"/>
        <v>46.116274962086685</v>
      </c>
      <c r="D54" s="161">
        <f t="shared" si="35"/>
        <v>45.841734452440591</v>
      </c>
      <c r="E54" s="162">
        <f t="shared" si="35"/>
        <v>46.390815471732779</v>
      </c>
      <c r="F54" s="163">
        <f t="shared" si="40"/>
        <v>44.642170039966096</v>
      </c>
      <c r="G54" s="161">
        <f t="shared" si="36"/>
        <v>44.387996223793003</v>
      </c>
      <c r="H54" s="161">
        <f t="shared" si="36"/>
        <v>44.89634385613919</v>
      </c>
      <c r="I54" s="164">
        <f t="shared" si="37"/>
        <v>96.80350391844857</v>
      </c>
      <c r="J54" s="163">
        <f t="shared" si="37"/>
        <v>1.4741049221205669</v>
      </c>
      <c r="K54" s="161">
        <f t="shared" si="38"/>
        <v>1.4367855859861356</v>
      </c>
      <c r="L54" s="161">
        <f t="shared" si="38"/>
        <v>1.5114242582549982</v>
      </c>
      <c r="M54" s="165">
        <f t="shared" si="41"/>
        <v>3.196496081551393</v>
      </c>
    </row>
    <row r="55" spans="1:13" ht="14.45" customHeight="1" x14ac:dyDescent="0.25">
      <c r="A55" s="49"/>
      <c r="B55" s="73">
        <v>40</v>
      </c>
      <c r="C55" s="161">
        <f t="shared" si="39"/>
        <v>41.375499478742874</v>
      </c>
      <c r="D55" s="161">
        <f t="shared" si="35"/>
        <v>41.111336500813003</v>
      </c>
      <c r="E55" s="162">
        <f t="shared" si="35"/>
        <v>41.639662456672745</v>
      </c>
      <c r="F55" s="163">
        <f t="shared" si="40"/>
        <v>39.892603132790725</v>
      </c>
      <c r="G55" s="161">
        <f t="shared" si="36"/>
        <v>39.649050310159119</v>
      </c>
      <c r="H55" s="161">
        <f t="shared" si="36"/>
        <v>40.136155955422332</v>
      </c>
      <c r="I55" s="164">
        <f t="shared" si="37"/>
        <v>96.416003759147358</v>
      </c>
      <c r="J55" s="163">
        <f t="shared" si="37"/>
        <v>1.4828963459521438</v>
      </c>
      <c r="K55" s="161">
        <f t="shared" si="38"/>
        <v>1.445454023297285</v>
      </c>
      <c r="L55" s="161">
        <f t="shared" si="38"/>
        <v>1.5203386686070026</v>
      </c>
      <c r="M55" s="165">
        <f t="shared" si="41"/>
        <v>3.5839962408526294</v>
      </c>
    </row>
    <row r="56" spans="1:13" ht="14.45" customHeight="1" x14ac:dyDescent="0.25">
      <c r="A56" s="49"/>
      <c r="B56" s="73">
        <v>45</v>
      </c>
      <c r="C56" s="161">
        <f t="shared" si="39"/>
        <v>36.673897381933649</v>
      </c>
      <c r="D56" s="161">
        <f t="shared" si="35"/>
        <v>36.420452934707967</v>
      </c>
      <c r="E56" s="162">
        <f t="shared" si="35"/>
        <v>36.927341829159332</v>
      </c>
      <c r="F56" s="163">
        <f t="shared" si="40"/>
        <v>35.179560868280468</v>
      </c>
      <c r="G56" s="161">
        <f t="shared" si="36"/>
        <v>34.946952944568146</v>
      </c>
      <c r="H56" s="161">
        <f t="shared" si="36"/>
        <v>35.412168791992791</v>
      </c>
      <c r="I56" s="164">
        <f t="shared" si="37"/>
        <v>95.925340309237697</v>
      </c>
      <c r="J56" s="163">
        <f t="shared" si="37"/>
        <v>1.4943365136531745</v>
      </c>
      <c r="K56" s="161">
        <f t="shared" si="38"/>
        <v>1.4567346709108435</v>
      </c>
      <c r="L56" s="161">
        <f t="shared" si="38"/>
        <v>1.5319383563955056</v>
      </c>
      <c r="M56" s="165">
        <f t="shared" si="41"/>
        <v>4.0746596907622825</v>
      </c>
    </row>
    <row r="57" spans="1:13" ht="14.45" customHeight="1" x14ac:dyDescent="0.25">
      <c r="A57" s="49"/>
      <c r="B57" s="73">
        <v>50</v>
      </c>
      <c r="C57" s="161">
        <f t="shared" si="39"/>
        <v>32.141497064901912</v>
      </c>
      <c r="D57" s="161">
        <f t="shared" si="35"/>
        <v>31.90618915661565</v>
      </c>
      <c r="E57" s="162">
        <f t="shared" si="35"/>
        <v>32.376804973188179</v>
      </c>
      <c r="F57" s="163">
        <f t="shared" si="40"/>
        <v>30.636502557864024</v>
      </c>
      <c r="G57" s="161">
        <f t="shared" si="36"/>
        <v>30.422335739422504</v>
      </c>
      <c r="H57" s="161">
        <f t="shared" si="36"/>
        <v>30.850669376305543</v>
      </c>
      <c r="I57" s="164">
        <f t="shared" si="37"/>
        <v>95.317596737952442</v>
      </c>
      <c r="J57" s="163">
        <f t="shared" si="37"/>
        <v>1.504994507037889</v>
      </c>
      <c r="K57" s="161">
        <f t="shared" si="38"/>
        <v>1.4672292644399363</v>
      </c>
      <c r="L57" s="161">
        <f t="shared" si="38"/>
        <v>1.5427597496358416</v>
      </c>
      <c r="M57" s="165">
        <f t="shared" si="41"/>
        <v>4.6824032620475631</v>
      </c>
    </row>
    <row r="58" spans="1:13" ht="14.45" customHeight="1" x14ac:dyDescent="0.25">
      <c r="A58" s="49"/>
      <c r="B58" s="73">
        <v>55</v>
      </c>
      <c r="C58" s="161">
        <f t="shared" si="39"/>
        <v>27.692281839853443</v>
      </c>
      <c r="D58" s="161">
        <f t="shared" si="35"/>
        <v>27.474183692251202</v>
      </c>
      <c r="E58" s="162">
        <f t="shared" si="35"/>
        <v>27.910379987455684</v>
      </c>
      <c r="F58" s="163">
        <f t="shared" si="40"/>
        <v>26.168228609331941</v>
      </c>
      <c r="G58" s="161">
        <f t="shared" si="36"/>
        <v>25.97155008576971</v>
      </c>
      <c r="H58" s="161">
        <f t="shared" si="36"/>
        <v>26.364907132894171</v>
      </c>
      <c r="I58" s="164">
        <f t="shared" si="37"/>
        <v>94.496469307458241</v>
      </c>
      <c r="J58" s="163">
        <f t="shared" si="37"/>
        <v>1.5240532305214987</v>
      </c>
      <c r="K58" s="161">
        <f t="shared" si="38"/>
        <v>1.4859878043547254</v>
      </c>
      <c r="L58" s="161">
        <f t="shared" si="38"/>
        <v>1.5621186566882719</v>
      </c>
      <c r="M58" s="165">
        <f t="shared" si="41"/>
        <v>5.5035306925417471</v>
      </c>
    </row>
    <row r="59" spans="1:13" ht="14.45" customHeight="1" x14ac:dyDescent="0.25">
      <c r="A59" s="49"/>
      <c r="B59" s="73">
        <v>60</v>
      </c>
      <c r="C59" s="161">
        <f t="shared" si="39"/>
        <v>23.460439862244105</v>
      </c>
      <c r="D59" s="161">
        <f t="shared" si="35"/>
        <v>23.259953560067057</v>
      </c>
      <c r="E59" s="162">
        <f t="shared" si="35"/>
        <v>23.660926164421152</v>
      </c>
      <c r="F59" s="163">
        <f t="shared" si="40"/>
        <v>21.905528141936188</v>
      </c>
      <c r="G59" s="161">
        <f t="shared" si="36"/>
        <v>21.726746586343225</v>
      </c>
      <c r="H59" s="161">
        <f t="shared" si="36"/>
        <v>22.08430969752915</v>
      </c>
      <c r="I59" s="164">
        <f t="shared" si="37"/>
        <v>93.372197071162745</v>
      </c>
      <c r="J59" s="163">
        <f t="shared" si="37"/>
        <v>1.554911720307911</v>
      </c>
      <c r="K59" s="161">
        <f t="shared" si="38"/>
        <v>1.5162715370816839</v>
      </c>
      <c r="L59" s="161">
        <f t="shared" si="38"/>
        <v>1.5935519035341381</v>
      </c>
      <c r="M59" s="165">
        <f t="shared" si="41"/>
        <v>6.6278029288372275</v>
      </c>
    </row>
    <row r="60" spans="1:13" ht="14.45" customHeight="1" x14ac:dyDescent="0.25">
      <c r="A60" s="49"/>
      <c r="B60" s="73">
        <v>65</v>
      </c>
      <c r="C60" s="161">
        <f t="shared" si="39"/>
        <v>19.462057637045167</v>
      </c>
      <c r="D60" s="161">
        <f t="shared" si="35"/>
        <v>19.276066025671707</v>
      </c>
      <c r="E60" s="162">
        <f t="shared" si="35"/>
        <v>19.648049248418626</v>
      </c>
      <c r="F60" s="163">
        <f t="shared" si="40"/>
        <v>17.87358583629771</v>
      </c>
      <c r="G60" s="161">
        <f t="shared" si="36"/>
        <v>17.709602587342221</v>
      </c>
      <c r="H60" s="161">
        <f t="shared" si="36"/>
        <v>18.0375690852532</v>
      </c>
      <c r="I60" s="164">
        <f t="shared" si="37"/>
        <v>91.838109667685558</v>
      </c>
      <c r="J60" s="163">
        <f t="shared" si="37"/>
        <v>1.5884718007474552</v>
      </c>
      <c r="K60" s="161">
        <f t="shared" si="38"/>
        <v>1.5488518161389724</v>
      </c>
      <c r="L60" s="161">
        <f t="shared" si="38"/>
        <v>1.628091785355938</v>
      </c>
      <c r="M60" s="165">
        <f t="shared" si="41"/>
        <v>8.1618903323144476</v>
      </c>
    </row>
    <row r="61" spans="1:13" ht="14.45" customHeight="1" x14ac:dyDescent="0.25">
      <c r="A61" s="49"/>
      <c r="B61" s="73">
        <v>70</v>
      </c>
      <c r="C61" s="161">
        <f t="shared" si="39"/>
        <v>15.696847429540508</v>
      </c>
      <c r="D61" s="161">
        <f t="shared" si="35"/>
        <v>15.528999856400295</v>
      </c>
      <c r="E61" s="162">
        <f t="shared" si="35"/>
        <v>15.864695002680721</v>
      </c>
      <c r="F61" s="163">
        <f t="shared" si="40"/>
        <v>14.07687909322979</v>
      </c>
      <c r="G61" s="161">
        <f t="shared" si="36"/>
        <v>13.930919552444808</v>
      </c>
      <c r="H61" s="161">
        <f t="shared" si="36"/>
        <v>14.222838634014773</v>
      </c>
      <c r="I61" s="164">
        <f t="shared" si="37"/>
        <v>89.679658010422926</v>
      </c>
      <c r="J61" s="163">
        <f t="shared" si="37"/>
        <v>1.6199683363107189</v>
      </c>
      <c r="K61" s="161">
        <f t="shared" si="38"/>
        <v>1.5791320063997367</v>
      </c>
      <c r="L61" s="161">
        <f t="shared" si="38"/>
        <v>1.6608046662217011</v>
      </c>
      <c r="M61" s="165">
        <f t="shared" si="41"/>
        <v>10.320341989577075</v>
      </c>
    </row>
    <row r="62" spans="1:13" ht="14.45" customHeight="1" x14ac:dyDescent="0.25">
      <c r="A62" s="49"/>
      <c r="B62" s="73">
        <v>75</v>
      </c>
      <c r="C62" s="161">
        <f t="shared" si="39"/>
        <v>12.10617373647246</v>
      </c>
      <c r="D62" s="161">
        <f t="shared" si="35"/>
        <v>11.962783862947202</v>
      </c>
      <c r="E62" s="162">
        <f t="shared" si="35"/>
        <v>12.249563609997718</v>
      </c>
      <c r="F62" s="163">
        <f t="shared" si="40"/>
        <v>10.492426030107627</v>
      </c>
      <c r="G62" s="161">
        <f t="shared" si="36"/>
        <v>10.369532569532</v>
      </c>
      <c r="H62" s="161">
        <f t="shared" si="36"/>
        <v>10.615319490683254</v>
      </c>
      <c r="I62" s="164">
        <f t="shared" si="37"/>
        <v>86.670043388663174</v>
      </c>
      <c r="J62" s="163">
        <f t="shared" si="37"/>
        <v>1.6137477063648329</v>
      </c>
      <c r="K62" s="161">
        <f t="shared" si="38"/>
        <v>1.5720793479804671</v>
      </c>
      <c r="L62" s="161">
        <f t="shared" si="38"/>
        <v>1.6554160647491987</v>
      </c>
      <c r="M62" s="165">
        <f t="shared" si="41"/>
        <v>13.329956611336824</v>
      </c>
    </row>
    <row r="63" spans="1:13" ht="14.45" customHeight="1" x14ac:dyDescent="0.25">
      <c r="A63" s="49"/>
      <c r="B63" s="73">
        <v>80</v>
      </c>
      <c r="C63" s="161">
        <f>AB23</f>
        <v>8.9316804916115444</v>
      </c>
      <c r="D63" s="161">
        <f t="shared" si="35"/>
        <v>8.8195670537145592</v>
      </c>
      <c r="E63" s="162">
        <f t="shared" si="35"/>
        <v>9.0437939295085297</v>
      </c>
      <c r="F63" s="163">
        <f>AC23</f>
        <v>7.3466929694365444</v>
      </c>
      <c r="G63" s="161">
        <f t="shared" si="36"/>
        <v>7.2503895397121703</v>
      </c>
      <c r="H63" s="161">
        <f t="shared" si="36"/>
        <v>7.4429963991609185</v>
      </c>
      <c r="I63" s="164">
        <f t="shared" si="37"/>
        <v>82.254319065000274</v>
      </c>
      <c r="J63" s="163">
        <f t="shared" si="37"/>
        <v>1.5849875221750012</v>
      </c>
      <c r="K63" s="161">
        <f t="shared" si="38"/>
        <v>1.5423387976120086</v>
      </c>
      <c r="L63" s="161">
        <f t="shared" si="38"/>
        <v>1.6276362467379937</v>
      </c>
      <c r="M63" s="165">
        <f>AF23</f>
        <v>17.745680934999744</v>
      </c>
    </row>
    <row r="64" spans="1:13" ht="14.45" customHeight="1" x14ac:dyDescent="0.25">
      <c r="A64" s="25"/>
      <c r="B64" s="95">
        <v>85</v>
      </c>
      <c r="C64" s="166">
        <f>AB24</f>
        <v>6.3377125415979076</v>
      </c>
      <c r="D64" s="166">
        <f t="shared" si="35"/>
        <v>6.0921419856692944</v>
      </c>
      <c r="E64" s="167">
        <f t="shared" si="35"/>
        <v>6.5832830975265209</v>
      </c>
      <c r="F64" s="168">
        <f>AC24</f>
        <v>4.8376405337775692</v>
      </c>
      <c r="G64" s="166">
        <f t="shared" si="36"/>
        <v>4.6454720032617196</v>
      </c>
      <c r="H64" s="166">
        <f t="shared" si="36"/>
        <v>5.0298090642934188</v>
      </c>
      <c r="I64" s="169">
        <f t="shared" si="37"/>
        <v>76.331018518518505</v>
      </c>
      <c r="J64" s="168">
        <f t="shared" si="37"/>
        <v>1.5000720078203382</v>
      </c>
      <c r="K64" s="166">
        <f t="shared" si="38"/>
        <v>1.428162645197721</v>
      </c>
      <c r="L64" s="166">
        <f t="shared" si="38"/>
        <v>1.5719813704429555</v>
      </c>
      <c r="M64" s="170">
        <f>AF24</f>
        <v>23.668981481481481</v>
      </c>
    </row>
    <row r="65" spans="1:13" ht="14.45" customHeight="1" x14ac:dyDescent="0.25">
      <c r="A65" s="49" t="s">
        <v>86</v>
      </c>
      <c r="B65" s="171">
        <v>0</v>
      </c>
      <c r="C65" s="172">
        <f>AB25</f>
        <v>87.172870324023464</v>
      </c>
      <c r="D65" s="172">
        <f t="shared" si="35"/>
        <v>86.893854448501841</v>
      </c>
      <c r="E65" s="173">
        <f t="shared" si="35"/>
        <v>87.451886199545086</v>
      </c>
      <c r="F65" s="174">
        <f>AC25</f>
        <v>84.159923038660011</v>
      </c>
      <c r="G65" s="172">
        <f t="shared" si="36"/>
        <v>83.907283125983881</v>
      </c>
      <c r="H65" s="172">
        <f t="shared" si="36"/>
        <v>84.412562951336142</v>
      </c>
      <c r="I65" s="175">
        <f t="shared" si="37"/>
        <v>96.543709901756984</v>
      </c>
      <c r="J65" s="174">
        <f t="shared" si="37"/>
        <v>3.0129472853634658</v>
      </c>
      <c r="K65" s="172">
        <f t="shared" si="38"/>
        <v>2.9627139275804826</v>
      </c>
      <c r="L65" s="172">
        <f t="shared" si="38"/>
        <v>3.063180643146449</v>
      </c>
      <c r="M65" s="176">
        <f>AF25</f>
        <v>3.4562900982430369</v>
      </c>
    </row>
    <row r="66" spans="1:13" ht="14.45" customHeight="1" x14ac:dyDescent="0.25">
      <c r="A66" s="128"/>
      <c r="B66" s="73">
        <v>5</v>
      </c>
      <c r="C66" s="161">
        <f>AB26</f>
        <v>82.408110049162588</v>
      </c>
      <c r="D66" s="161">
        <f t="shared" si="35"/>
        <v>82.159358138738369</v>
      </c>
      <c r="E66" s="162">
        <f t="shared" si="35"/>
        <v>82.656861959586806</v>
      </c>
      <c r="F66" s="163">
        <f>AC26</f>
        <v>79.386950760340824</v>
      </c>
      <c r="G66" s="161">
        <f t="shared" si="36"/>
        <v>79.165810802226147</v>
      </c>
      <c r="H66" s="161">
        <f t="shared" si="36"/>
        <v>79.6080907184555</v>
      </c>
      <c r="I66" s="164">
        <f t="shared" si="37"/>
        <v>96.333905380162932</v>
      </c>
      <c r="J66" s="163">
        <f t="shared" si="37"/>
        <v>3.021159288821782</v>
      </c>
      <c r="K66" s="161">
        <f t="shared" si="38"/>
        <v>2.9709877642980773</v>
      </c>
      <c r="L66" s="161">
        <f t="shared" si="38"/>
        <v>3.0713308133454866</v>
      </c>
      <c r="M66" s="165">
        <f>AF26</f>
        <v>3.6660946198370952</v>
      </c>
    </row>
    <row r="67" spans="1:13" ht="14.45" customHeight="1" x14ac:dyDescent="0.25">
      <c r="A67" s="128"/>
      <c r="B67" s="73">
        <v>10</v>
      </c>
      <c r="C67" s="161">
        <f t="shared" ref="C67:C80" si="42">AB27</f>
        <v>77.454731686206188</v>
      </c>
      <c r="D67" s="161">
        <f t="shared" si="35"/>
        <v>77.21149384742273</v>
      </c>
      <c r="E67" s="162">
        <f t="shared" si="35"/>
        <v>77.697969524989645</v>
      </c>
      <c r="F67" s="163">
        <f t="shared" ref="F67:F80" si="43">AC27</f>
        <v>74.431812968308208</v>
      </c>
      <c r="G67" s="161">
        <f t="shared" si="36"/>
        <v>74.216450177328909</v>
      </c>
      <c r="H67" s="161">
        <f t="shared" si="36"/>
        <v>74.647175759287506</v>
      </c>
      <c r="I67" s="164">
        <f t="shared" si="37"/>
        <v>96.097180053318382</v>
      </c>
      <c r="J67" s="163">
        <f t="shared" si="37"/>
        <v>3.0229187178979768</v>
      </c>
      <c r="K67" s="161">
        <f t="shared" si="38"/>
        <v>2.9727574951473708</v>
      </c>
      <c r="L67" s="161">
        <f t="shared" si="38"/>
        <v>3.0730799406485829</v>
      </c>
      <c r="M67" s="165">
        <f t="shared" ref="M67:M80" si="44">AF27</f>
        <v>3.9028199466816105</v>
      </c>
    </row>
    <row r="68" spans="1:13" ht="14.45" customHeight="1" x14ac:dyDescent="0.25">
      <c r="A68" s="128"/>
      <c r="B68" s="73">
        <v>15</v>
      </c>
      <c r="C68" s="161">
        <f t="shared" si="42"/>
        <v>72.48264664802042</v>
      </c>
      <c r="D68" s="161">
        <f t="shared" si="35"/>
        <v>72.242414656252606</v>
      </c>
      <c r="E68" s="162">
        <f t="shared" si="35"/>
        <v>72.722878639788235</v>
      </c>
      <c r="F68" s="163">
        <f t="shared" si="43"/>
        <v>69.458601652236283</v>
      </c>
      <c r="G68" s="161">
        <f t="shared" si="36"/>
        <v>69.246383002403689</v>
      </c>
      <c r="H68" s="161">
        <f t="shared" si="36"/>
        <v>69.670820302068876</v>
      </c>
      <c r="I68" s="164">
        <f t="shared" si="37"/>
        <v>95.827904835664924</v>
      </c>
      <c r="J68" s="163">
        <f t="shared" si="37"/>
        <v>3.0240449957841422</v>
      </c>
      <c r="K68" s="161">
        <f t="shared" si="38"/>
        <v>2.9738893769363717</v>
      </c>
      <c r="L68" s="161">
        <f t="shared" si="38"/>
        <v>3.0742006146319127</v>
      </c>
      <c r="M68" s="165">
        <f t="shared" si="44"/>
        <v>4.1720951643350785</v>
      </c>
    </row>
    <row r="69" spans="1:13" ht="14.45" customHeight="1" x14ac:dyDescent="0.25">
      <c r="A69" s="128"/>
      <c r="B69" s="73">
        <v>20</v>
      </c>
      <c r="C69" s="161">
        <f t="shared" si="42"/>
        <v>67.508478664594705</v>
      </c>
      <c r="D69" s="161">
        <f t="shared" si="35"/>
        <v>67.27084020215392</v>
      </c>
      <c r="E69" s="162">
        <f t="shared" si="35"/>
        <v>67.74611712703549</v>
      </c>
      <c r="F69" s="163">
        <f t="shared" si="43"/>
        <v>64.483311450813105</v>
      </c>
      <c r="G69" s="161">
        <f t="shared" si="36"/>
        <v>64.273795433222375</v>
      </c>
      <c r="H69" s="161">
        <f t="shared" si="36"/>
        <v>64.692827468403834</v>
      </c>
      <c r="I69" s="164">
        <f t="shared" si="37"/>
        <v>95.518833673009183</v>
      </c>
      <c r="J69" s="163">
        <f t="shared" si="37"/>
        <v>3.0251672137816055</v>
      </c>
      <c r="K69" s="161">
        <f t="shared" si="38"/>
        <v>2.975017103052342</v>
      </c>
      <c r="L69" s="161">
        <f t="shared" si="38"/>
        <v>3.0753173245108689</v>
      </c>
      <c r="M69" s="165">
        <f t="shared" si="44"/>
        <v>4.4811663269908282</v>
      </c>
    </row>
    <row r="70" spans="1:13" ht="14.45" customHeight="1" x14ac:dyDescent="0.25">
      <c r="A70" s="128"/>
      <c r="B70" s="73">
        <v>25</v>
      </c>
      <c r="C70" s="161">
        <f t="shared" si="42"/>
        <v>62.584246839768312</v>
      </c>
      <c r="D70" s="161">
        <f t="shared" si="35"/>
        <v>62.355799674501071</v>
      </c>
      <c r="E70" s="162">
        <f t="shared" si="35"/>
        <v>62.812694005035553</v>
      </c>
      <c r="F70" s="163">
        <f t="shared" si="43"/>
        <v>59.555545991466516</v>
      </c>
      <c r="G70" s="161">
        <f t="shared" si="36"/>
        <v>59.355581177792082</v>
      </c>
      <c r="H70" s="161">
        <f t="shared" si="36"/>
        <v>59.75551080514095</v>
      </c>
      <c r="I70" s="164">
        <f t="shared" si="37"/>
        <v>95.160601906649049</v>
      </c>
      <c r="J70" s="163">
        <f t="shared" si="37"/>
        <v>3.0287008483018023</v>
      </c>
      <c r="K70" s="161">
        <f t="shared" si="38"/>
        <v>2.9785878992361376</v>
      </c>
      <c r="L70" s="161">
        <f t="shared" si="38"/>
        <v>3.078813797367467</v>
      </c>
      <c r="M70" s="165">
        <f t="shared" si="44"/>
        <v>4.8393980933509537</v>
      </c>
    </row>
    <row r="71" spans="1:13" ht="14.45" customHeight="1" x14ac:dyDescent="0.25">
      <c r="A71" s="128"/>
      <c r="B71" s="73">
        <v>30</v>
      </c>
      <c r="C71" s="161">
        <f t="shared" si="42"/>
        <v>57.584246839768312</v>
      </c>
      <c r="D71" s="161">
        <f t="shared" si="35"/>
        <v>57.355799674501071</v>
      </c>
      <c r="E71" s="162">
        <f t="shared" si="35"/>
        <v>57.812694005035553</v>
      </c>
      <c r="F71" s="163">
        <f t="shared" si="43"/>
        <v>54.555545991466516</v>
      </c>
      <c r="G71" s="161">
        <f t="shared" si="36"/>
        <v>54.355581177792082</v>
      </c>
      <c r="H71" s="161">
        <f t="shared" si="36"/>
        <v>54.75551080514095</v>
      </c>
      <c r="I71" s="164">
        <f t="shared" si="37"/>
        <v>94.740400344682214</v>
      </c>
      <c r="J71" s="163">
        <f t="shared" si="37"/>
        <v>3.0287008483018023</v>
      </c>
      <c r="K71" s="161">
        <f t="shared" si="38"/>
        <v>2.9785878992361376</v>
      </c>
      <c r="L71" s="161">
        <f t="shared" si="38"/>
        <v>3.078813797367467</v>
      </c>
      <c r="M71" s="165">
        <f t="shared" si="44"/>
        <v>5.2595996553177944</v>
      </c>
    </row>
    <row r="72" spans="1:13" ht="14.45" customHeight="1" x14ac:dyDescent="0.25">
      <c r="A72" s="128"/>
      <c r="B72" s="73">
        <v>35</v>
      </c>
      <c r="C72" s="161">
        <f t="shared" si="42"/>
        <v>52.637615289876592</v>
      </c>
      <c r="D72" s="161">
        <f t="shared" si="35"/>
        <v>52.412973158103497</v>
      </c>
      <c r="E72" s="162">
        <f t="shared" si="35"/>
        <v>52.862257421649687</v>
      </c>
      <c r="F72" s="163">
        <f t="shared" si="43"/>
        <v>49.605974920982305</v>
      </c>
      <c r="G72" s="161">
        <f t="shared" si="36"/>
        <v>49.409929636015548</v>
      </c>
      <c r="H72" s="161">
        <f t="shared" si="36"/>
        <v>49.802020205949063</v>
      </c>
      <c r="I72" s="164">
        <f t="shared" si="37"/>
        <v>94.240543854050046</v>
      </c>
      <c r="J72" s="163">
        <f t="shared" si="37"/>
        <v>3.0316403688942977</v>
      </c>
      <c r="K72" s="161">
        <f t="shared" si="38"/>
        <v>2.98153401221118</v>
      </c>
      <c r="L72" s="161">
        <f t="shared" si="38"/>
        <v>3.0817467255774154</v>
      </c>
      <c r="M72" s="165">
        <f t="shared" si="44"/>
        <v>5.7594561459499687</v>
      </c>
    </row>
    <row r="73" spans="1:13" ht="14.45" customHeight="1" x14ac:dyDescent="0.25">
      <c r="A73" s="128"/>
      <c r="B73" s="73">
        <v>40</v>
      </c>
      <c r="C73" s="161">
        <f t="shared" si="42"/>
        <v>47.743898368087279</v>
      </c>
      <c r="D73" s="161">
        <f t="shared" si="35"/>
        <v>47.525312344941142</v>
      </c>
      <c r="E73" s="162">
        <f t="shared" si="35"/>
        <v>47.962484391233417</v>
      </c>
      <c r="F73" s="163">
        <f t="shared" si="43"/>
        <v>44.705809154407618</v>
      </c>
      <c r="G73" s="161">
        <f t="shared" si="36"/>
        <v>44.515968626676617</v>
      </c>
      <c r="H73" s="161">
        <f t="shared" si="36"/>
        <v>44.895649682138618</v>
      </c>
      <c r="I73" s="164">
        <f t="shared" si="37"/>
        <v>93.636696378965226</v>
      </c>
      <c r="J73" s="163">
        <f t="shared" si="37"/>
        <v>3.0380892136796591</v>
      </c>
      <c r="K73" s="161">
        <f t="shared" si="38"/>
        <v>2.9879826670123149</v>
      </c>
      <c r="L73" s="161">
        <f t="shared" si="38"/>
        <v>3.0881957603470034</v>
      </c>
      <c r="M73" s="165">
        <f t="shared" si="44"/>
        <v>6.3633036210347713</v>
      </c>
    </row>
    <row r="74" spans="1:13" ht="14.45" customHeight="1" x14ac:dyDescent="0.25">
      <c r="A74" s="128"/>
      <c r="B74" s="73">
        <v>45</v>
      </c>
      <c r="C74" s="161">
        <f t="shared" si="42"/>
        <v>42.929859703385283</v>
      </c>
      <c r="D74" s="161">
        <f t="shared" si="35"/>
        <v>42.721113616830344</v>
      </c>
      <c r="E74" s="162">
        <f t="shared" si="35"/>
        <v>43.138605789940222</v>
      </c>
      <c r="F74" s="163">
        <f t="shared" si="43"/>
        <v>39.879239364005826</v>
      </c>
      <c r="G74" s="161">
        <f t="shared" si="36"/>
        <v>39.699415839610971</v>
      </c>
      <c r="H74" s="161">
        <f t="shared" si="36"/>
        <v>40.059062888400682</v>
      </c>
      <c r="I74" s="164">
        <f t="shared" si="37"/>
        <v>92.893942909534147</v>
      </c>
      <c r="J74" s="163">
        <f t="shared" si="37"/>
        <v>3.0506203393794533</v>
      </c>
      <c r="K74" s="161">
        <f t="shared" si="38"/>
        <v>3.0005151220459809</v>
      </c>
      <c r="L74" s="161">
        <f t="shared" si="38"/>
        <v>3.1007255567129257</v>
      </c>
      <c r="M74" s="165">
        <f t="shared" si="44"/>
        <v>7.1060570904658542</v>
      </c>
    </row>
    <row r="75" spans="1:13" ht="14.45" customHeight="1" x14ac:dyDescent="0.25">
      <c r="A75" s="128"/>
      <c r="B75" s="73">
        <v>50</v>
      </c>
      <c r="C75" s="161">
        <f t="shared" si="42"/>
        <v>38.120179750553696</v>
      </c>
      <c r="D75" s="161">
        <f t="shared" si="35"/>
        <v>37.921488924751117</v>
      </c>
      <c r="E75" s="162">
        <f t="shared" si="35"/>
        <v>38.318870576356275</v>
      </c>
      <c r="F75" s="163">
        <f t="shared" si="43"/>
        <v>35.061009969877993</v>
      </c>
      <c r="G75" s="161">
        <f t="shared" si="36"/>
        <v>34.891343543120421</v>
      </c>
      <c r="H75" s="161">
        <f t="shared" si="36"/>
        <v>35.230676396635566</v>
      </c>
      <c r="I75" s="164">
        <f t="shared" si="37"/>
        <v>91.974933484852556</v>
      </c>
      <c r="J75" s="163">
        <f t="shared" si="37"/>
        <v>3.0591697806757132</v>
      </c>
      <c r="K75" s="161">
        <f t="shared" si="38"/>
        <v>3.009119225794743</v>
      </c>
      <c r="L75" s="161">
        <f t="shared" si="38"/>
        <v>3.1092203355566834</v>
      </c>
      <c r="M75" s="165">
        <f t="shared" si="44"/>
        <v>8.0250665151474756</v>
      </c>
    </row>
    <row r="76" spans="1:13" ht="14.45" customHeight="1" x14ac:dyDescent="0.25">
      <c r="A76" s="128"/>
      <c r="B76" s="73">
        <v>55</v>
      </c>
      <c r="C76" s="161">
        <f t="shared" si="42"/>
        <v>33.456579416701267</v>
      </c>
      <c r="D76" s="161">
        <f t="shared" si="35"/>
        <v>33.273327136130447</v>
      </c>
      <c r="E76" s="162">
        <f t="shared" si="35"/>
        <v>33.639831697272086</v>
      </c>
      <c r="F76" s="163">
        <f t="shared" si="43"/>
        <v>30.373898365238336</v>
      </c>
      <c r="G76" s="161">
        <f t="shared" si="36"/>
        <v>30.219690136446911</v>
      </c>
      <c r="H76" s="161">
        <f t="shared" si="36"/>
        <v>30.528106594029762</v>
      </c>
      <c r="I76" s="164">
        <f t="shared" si="37"/>
        <v>90.78602443762054</v>
      </c>
      <c r="J76" s="163">
        <f t="shared" si="37"/>
        <v>3.0826810514629353</v>
      </c>
      <c r="K76" s="161">
        <f t="shared" si="38"/>
        <v>3.032677123769457</v>
      </c>
      <c r="L76" s="161">
        <f t="shared" si="38"/>
        <v>3.1326849791564135</v>
      </c>
      <c r="M76" s="165">
        <f t="shared" si="44"/>
        <v>9.2139755623794706</v>
      </c>
    </row>
    <row r="77" spans="1:13" ht="14.45" customHeight="1" x14ac:dyDescent="0.25">
      <c r="A77" s="128"/>
      <c r="B77" s="73">
        <v>60</v>
      </c>
      <c r="C77" s="161">
        <f t="shared" si="42"/>
        <v>28.83715505866035</v>
      </c>
      <c r="D77" s="161">
        <f t="shared" si="35"/>
        <v>28.667667790871739</v>
      </c>
      <c r="E77" s="162">
        <f t="shared" si="35"/>
        <v>29.006642326448961</v>
      </c>
      <c r="F77" s="163">
        <f t="shared" si="43"/>
        <v>25.72615300711913</v>
      </c>
      <c r="G77" s="161">
        <f t="shared" si="36"/>
        <v>25.585597672404194</v>
      </c>
      <c r="H77" s="161">
        <f t="shared" si="36"/>
        <v>25.866708341834066</v>
      </c>
      <c r="I77" s="164">
        <f t="shared" si="37"/>
        <v>89.211827431614381</v>
      </c>
      <c r="J77" s="163">
        <f t="shared" si="37"/>
        <v>3.1110020515412207</v>
      </c>
      <c r="K77" s="161">
        <f t="shared" si="38"/>
        <v>3.0609909123252863</v>
      </c>
      <c r="L77" s="161">
        <f t="shared" si="38"/>
        <v>3.161013190757155</v>
      </c>
      <c r="M77" s="165">
        <f t="shared" si="44"/>
        <v>10.788172568385615</v>
      </c>
    </row>
    <row r="78" spans="1:13" ht="14.45" customHeight="1" x14ac:dyDescent="0.25">
      <c r="A78" s="128"/>
      <c r="B78" s="73">
        <v>65</v>
      </c>
      <c r="C78" s="161">
        <f t="shared" si="42"/>
        <v>24.365192575066803</v>
      </c>
      <c r="D78" s="161">
        <f t="shared" si="35"/>
        <v>24.209901091999189</v>
      </c>
      <c r="E78" s="162">
        <f t="shared" si="35"/>
        <v>24.520484058134418</v>
      </c>
      <c r="F78" s="163">
        <f t="shared" si="43"/>
        <v>21.216905569701847</v>
      </c>
      <c r="G78" s="161">
        <f t="shared" si="36"/>
        <v>21.090189876630863</v>
      </c>
      <c r="H78" s="161">
        <f t="shared" si="36"/>
        <v>21.343621262772832</v>
      </c>
      <c r="I78" s="164">
        <f t="shared" si="37"/>
        <v>87.078751806843357</v>
      </c>
      <c r="J78" s="163">
        <f t="shared" si="37"/>
        <v>3.1482870053649563</v>
      </c>
      <c r="K78" s="161">
        <f t="shared" si="38"/>
        <v>3.0981737149946507</v>
      </c>
      <c r="L78" s="161">
        <f t="shared" si="38"/>
        <v>3.198400295735262</v>
      </c>
      <c r="M78" s="165">
        <f t="shared" si="44"/>
        <v>12.921248193156645</v>
      </c>
    </row>
    <row r="79" spans="1:13" ht="14.45" customHeight="1" x14ac:dyDescent="0.25">
      <c r="A79" s="128"/>
      <c r="B79" s="73">
        <v>70</v>
      </c>
      <c r="C79" s="161">
        <f t="shared" si="42"/>
        <v>19.883919613722494</v>
      </c>
      <c r="D79" s="161">
        <f t="shared" si="35"/>
        <v>19.742821756898707</v>
      </c>
      <c r="E79" s="162">
        <f t="shared" si="35"/>
        <v>20.025017470546281</v>
      </c>
      <c r="F79" s="163">
        <f t="shared" si="43"/>
        <v>16.71964418864216</v>
      </c>
      <c r="G79" s="161">
        <f t="shared" si="36"/>
        <v>16.606217987884236</v>
      </c>
      <c r="H79" s="161">
        <f t="shared" si="36"/>
        <v>16.833070389400085</v>
      </c>
      <c r="I79" s="164">
        <f t="shared" si="37"/>
        <v>84.086259215730436</v>
      </c>
      <c r="J79" s="163">
        <f t="shared" si="37"/>
        <v>3.1642754250803318</v>
      </c>
      <c r="K79" s="161">
        <f t="shared" si="38"/>
        <v>3.1143199207746424</v>
      </c>
      <c r="L79" s="161">
        <f t="shared" si="38"/>
        <v>3.2142309293860212</v>
      </c>
      <c r="M79" s="165">
        <f t="shared" si="44"/>
        <v>15.913740784269564</v>
      </c>
    </row>
    <row r="80" spans="1:13" ht="14.45" customHeight="1" x14ac:dyDescent="0.25">
      <c r="A80" s="128"/>
      <c r="B80" s="73">
        <v>75</v>
      </c>
      <c r="C80" s="161">
        <f t="shared" si="42"/>
        <v>15.666433819680051</v>
      </c>
      <c r="D80" s="161">
        <f t="shared" si="35"/>
        <v>15.547786407701178</v>
      </c>
      <c r="E80" s="162">
        <f t="shared" si="35"/>
        <v>15.785081231658925</v>
      </c>
      <c r="F80" s="163">
        <f t="shared" si="43"/>
        <v>12.482582907529935</v>
      </c>
      <c r="G80" s="161">
        <f t="shared" si="36"/>
        <v>12.388590831351719</v>
      </c>
      <c r="H80" s="161">
        <f t="shared" si="36"/>
        <v>12.57657498370815</v>
      </c>
      <c r="I80" s="164">
        <f t="shared" si="37"/>
        <v>79.677245320817121</v>
      </c>
      <c r="J80" s="163">
        <f t="shared" si="37"/>
        <v>3.1838509121501142</v>
      </c>
      <c r="K80" s="161">
        <f t="shared" si="38"/>
        <v>3.1347311472023134</v>
      </c>
      <c r="L80" s="161">
        <f t="shared" si="38"/>
        <v>3.232970677097915</v>
      </c>
      <c r="M80" s="165">
        <f t="shared" si="44"/>
        <v>20.322754679182864</v>
      </c>
    </row>
    <row r="81" spans="1:13" ht="14.45" customHeight="1" x14ac:dyDescent="0.25">
      <c r="A81" s="128"/>
      <c r="B81" s="73">
        <v>80</v>
      </c>
      <c r="C81" s="161">
        <f>AB41</f>
        <v>11.709249335446719</v>
      </c>
      <c r="D81" s="161">
        <f t="shared" si="35"/>
        <v>11.618848365948599</v>
      </c>
      <c r="E81" s="162">
        <f t="shared" si="35"/>
        <v>11.799650304944839</v>
      </c>
      <c r="F81" s="163">
        <f>AC41</f>
        <v>8.5673010653318098</v>
      </c>
      <c r="G81" s="161">
        <f t="shared" si="36"/>
        <v>8.494439728308409</v>
      </c>
      <c r="H81" s="161">
        <f t="shared" si="36"/>
        <v>8.6401624023552106</v>
      </c>
      <c r="I81" s="164">
        <f t="shared" si="37"/>
        <v>73.166953917332052</v>
      </c>
      <c r="J81" s="163">
        <f t="shared" si="37"/>
        <v>3.1419482701149071</v>
      </c>
      <c r="K81" s="161">
        <f t="shared" si="38"/>
        <v>3.0950059331475108</v>
      </c>
      <c r="L81" s="161">
        <f t="shared" si="38"/>
        <v>3.1888906070823033</v>
      </c>
      <c r="M81" s="165">
        <f>AF41</f>
        <v>26.833046082667934</v>
      </c>
    </row>
    <row r="82" spans="1:13" ht="14.45" customHeight="1" thickBot="1" x14ac:dyDescent="0.3">
      <c r="A82" s="131"/>
      <c r="B82" s="177">
        <v>85</v>
      </c>
      <c r="C82" s="178">
        <f>AB42</f>
        <v>8.3190134683755321</v>
      </c>
      <c r="D82" s="178">
        <f t="shared" si="35"/>
        <v>8.0784553026113581</v>
      </c>
      <c r="E82" s="179">
        <f t="shared" si="35"/>
        <v>8.5595716341397061</v>
      </c>
      <c r="F82" s="180">
        <f>AC42</f>
        <v>5.3329567585097859</v>
      </c>
      <c r="G82" s="178">
        <f t="shared" si="36"/>
        <v>5.1737646081732462</v>
      </c>
      <c r="H82" s="178">
        <f t="shared" si="36"/>
        <v>5.4921489088463256</v>
      </c>
      <c r="I82" s="181">
        <f t="shared" si="37"/>
        <v>64.105639193671863</v>
      </c>
      <c r="J82" s="180">
        <f t="shared" si="37"/>
        <v>2.9860567098657471</v>
      </c>
      <c r="K82" s="178">
        <f t="shared" si="38"/>
        <v>2.8911000199968648</v>
      </c>
      <c r="L82" s="178">
        <f t="shared" si="38"/>
        <v>3.0810133997346294</v>
      </c>
      <c r="M82" s="182">
        <f>AF42</f>
        <v>35.894360806328152</v>
      </c>
    </row>
    <row r="83" spans="1:13" ht="14.45" customHeight="1" thickTop="1" x14ac:dyDescent="0.25"/>
    <row r="84" spans="1:13" ht="14.45" customHeight="1" x14ac:dyDescent="0.25"/>
  </sheetData>
  <protectedRanges>
    <protectedRange sqref="C7:F42" name="範囲1_1"/>
  </protectedRanges>
  <mergeCells count="30">
    <mergeCell ref="A1:M1"/>
    <mergeCell ref="B4:F4"/>
    <mergeCell ref="G4:L4"/>
    <mergeCell ref="O4:P4"/>
    <mergeCell ref="Q4:S4"/>
    <mergeCell ref="J44:M44"/>
    <mergeCell ref="X4:AA4"/>
    <mergeCell ref="AB4:AF4"/>
    <mergeCell ref="AH4:AO4"/>
    <mergeCell ref="AP4:AU4"/>
    <mergeCell ref="V5:W5"/>
    <mergeCell ref="X5:Y5"/>
    <mergeCell ref="Z5:AA5"/>
    <mergeCell ref="AC5:AD5"/>
    <mergeCell ref="AE5:AF5"/>
    <mergeCell ref="AJ5:AK5"/>
    <mergeCell ref="T4:W4"/>
    <mergeCell ref="AL5:AM5"/>
    <mergeCell ref="AN5:AO5"/>
    <mergeCell ref="AP5:AQ5"/>
    <mergeCell ref="AR5:AS5"/>
    <mergeCell ref="AT5:AU5"/>
    <mergeCell ref="A45:A46"/>
    <mergeCell ref="B45:B46"/>
    <mergeCell ref="C45:E45"/>
    <mergeCell ref="F45:I45"/>
    <mergeCell ref="J45:M45"/>
    <mergeCell ref="D46:E46"/>
    <mergeCell ref="G46:H46"/>
    <mergeCell ref="K46:L46"/>
  </mergeCells>
  <phoneticPr fontId="3"/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 健康寿命算定結果-宮崎県</vt:lpstr>
      <vt:lpstr>'9 健康寿命算定結果-宮崎県'!Print_Area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MIYAKENKOU165</dc:creator>
  <cp:lastModifiedBy>MIYAKENKOU165</cp:lastModifiedBy>
  <dcterms:created xsi:type="dcterms:W3CDTF">2017-05-17T23:56:38Z</dcterms:created>
  <dcterms:modified xsi:type="dcterms:W3CDTF">2017-05-18T02:42:49Z</dcterms:modified>
</cp:coreProperties>
</file>